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am\KTC Dropbox\Adam Kirk\Adam and Martha Share\BridgeProgram\102\Handouts\"/>
    </mc:Choice>
  </mc:AlternateContent>
  <xr:revisionPtr revIDLastSave="0" documentId="13_ncr:1_{2F044BCE-DAD0-42F2-8A54-94118236A30E}" xr6:coauthVersionLast="47" xr6:coauthVersionMax="47" xr10:uidLastSave="{00000000-0000-0000-0000-000000000000}"/>
  <bookViews>
    <workbookView xWindow="-28920" yWindow="-120" windowWidth="29040" windowHeight="15720" xr2:uid="{304CCD36-9CC3-4977-B933-4CDDFFB51467}"/>
  </bookViews>
  <sheets>
    <sheet name="BridgeInformation" sheetId="11" r:id="rId1"/>
    <sheet name="CostEstimateSummary" sheetId="14" r:id="rId2"/>
    <sheet name="Slab" sheetId="1" r:id="rId3"/>
    <sheet name="BoxBeam" sheetId="3" r:id="rId4"/>
    <sheet name="Non-CompositeSteel" sheetId="4" r:id="rId5"/>
    <sheet name="CompositeSteel" sheetId="5" r:id="rId6"/>
    <sheet name="End Bent No. 1" sheetId="7" r:id="rId7"/>
    <sheet name="End Bent No. 2" sheetId="12" r:id="rId8"/>
    <sheet name="Wall Abutment No. 1" sheetId="8" r:id="rId9"/>
    <sheet name="Wall Abutment No. 2" sheetId="13" r:id="rId10"/>
    <sheet name="Pier" sheetId="10" r:id="rId11"/>
    <sheet name="StructuralSteel_Table" sheetId="9" r:id="rId12"/>
  </sheets>
  <definedNames>
    <definedName name="_xlnm.Print_Area" localSheetId="0">BridgeInformation!$A$1:$K$36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4" l="1" a="1"/>
  <c r="G39" i="14" s="1"/>
  <c r="B18" i="11"/>
  <c r="B3" i="13"/>
  <c r="B4" i="8"/>
  <c r="B3" i="8"/>
  <c r="B4" i="13"/>
  <c r="K26" i="11" s="1"/>
  <c r="H26" i="11"/>
  <c r="B7" i="14"/>
  <c r="B8" i="14"/>
  <c r="B9" i="14"/>
  <c r="B10" i="14"/>
  <c r="B6" i="14"/>
  <c r="B3" i="14"/>
  <c r="E20" i="12"/>
  <c r="E20" i="7"/>
  <c r="B7" i="8"/>
  <c r="H28" i="11" s="1"/>
  <c r="B5" i="8"/>
  <c r="H27" i="11" s="1"/>
  <c r="B6" i="13"/>
  <c r="B10" i="13" s="1"/>
  <c r="B5" i="12"/>
  <c r="A27" i="12" s="1"/>
  <c r="B4" i="12"/>
  <c r="J26" i="11" s="1"/>
  <c r="B3" i="12"/>
  <c r="B9" i="12" s="1"/>
  <c r="J25" i="11" s="1"/>
  <c r="B6" i="8"/>
  <c r="B10" i="8" s="1"/>
  <c r="K30" i="11"/>
  <c r="H30" i="11"/>
  <c r="B5" i="13"/>
  <c r="K27" i="11" s="1"/>
  <c r="B7" i="13"/>
  <c r="B8" i="13" s="1"/>
  <c r="I28" i="11"/>
  <c r="B5" i="7"/>
  <c r="A27" i="7" s="1"/>
  <c r="F28" i="11"/>
  <c r="G28" i="11" s="1"/>
  <c r="B11" i="12"/>
  <c r="J28" i="11" s="1"/>
  <c r="B11" i="7"/>
  <c r="J11" i="11"/>
  <c r="J10" i="11"/>
  <c r="I11" i="11"/>
  <c r="H11" i="11"/>
  <c r="B7" i="12" s="1"/>
  <c r="E13" i="10"/>
  <c r="F11" i="11"/>
  <c r="F10" i="11"/>
  <c r="F9" i="11"/>
  <c r="G9" i="11" s="1"/>
  <c r="F8" i="11"/>
  <c r="G8" i="11" s="1"/>
  <c r="F7" i="11"/>
  <c r="F6" i="11"/>
  <c r="B4" i="7"/>
  <c r="G26" i="11" s="1"/>
  <c r="B3" i="7"/>
  <c r="B9" i="7" s="1"/>
  <c r="G25" i="11" s="1"/>
  <c r="B5" i="5"/>
  <c r="J9" i="11" s="1"/>
  <c r="B4" i="5"/>
  <c r="B3" i="5"/>
  <c r="B9" i="5" s="1"/>
  <c r="B6" i="4"/>
  <c r="B5" i="4"/>
  <c r="I6" i="11" s="1"/>
  <c r="B3" i="4"/>
  <c r="B4" i="4" s="1"/>
  <c r="B10" i="4" s="1"/>
  <c r="C18" i="11"/>
  <c r="B5" i="3" s="1"/>
  <c r="N30" i="3" s="1"/>
  <c r="B10" i="3" s="1"/>
  <c r="B4" i="3"/>
  <c r="H9" i="11" s="1"/>
  <c r="B3" i="3"/>
  <c r="B7" i="3" s="1"/>
  <c r="H6" i="11" s="1"/>
  <c r="F26" i="11" s="1"/>
  <c r="I26" i="11" s="1"/>
  <c r="B2" i="3"/>
  <c r="B6" i="3" s="1"/>
  <c r="H7" i="11" s="1"/>
  <c r="F25" i="11" s="1"/>
  <c r="B4" i="1"/>
  <c r="B3" i="1"/>
  <c r="B25" i="1" s="1"/>
  <c r="B2" i="1"/>
  <c r="B5" i="1" s="1"/>
  <c r="W361" i="13"/>
  <c r="T361" i="13"/>
  <c r="W360" i="13"/>
  <c r="T360" i="13"/>
  <c r="W359" i="13"/>
  <c r="T359" i="13"/>
  <c r="O359" i="13"/>
  <c r="W358" i="13"/>
  <c r="T358" i="13"/>
  <c r="W357" i="13"/>
  <c r="T357" i="13"/>
  <c r="W356" i="13"/>
  <c r="T356" i="13"/>
  <c r="W355" i="13"/>
  <c r="T355" i="13"/>
  <c r="W354" i="13"/>
  <c r="T354" i="13"/>
  <c r="W353" i="13"/>
  <c r="T353" i="13"/>
  <c r="W352" i="13"/>
  <c r="T352" i="13"/>
  <c r="W351" i="13"/>
  <c r="T351" i="13"/>
  <c r="W350" i="13"/>
  <c r="T350" i="13"/>
  <c r="W349" i="13"/>
  <c r="T349" i="13"/>
  <c r="W348" i="13"/>
  <c r="T348" i="13"/>
  <c r="W347" i="13"/>
  <c r="T347" i="13"/>
  <c r="W346" i="13"/>
  <c r="T346" i="13"/>
  <c r="W345" i="13"/>
  <c r="T345" i="13"/>
  <c r="W344" i="13"/>
  <c r="T344" i="13"/>
  <c r="W343" i="13"/>
  <c r="T343" i="13"/>
  <c r="O343" i="13"/>
  <c r="W342" i="13"/>
  <c r="T342" i="13"/>
  <c r="W341" i="13"/>
  <c r="T341" i="13"/>
  <c r="W340" i="13"/>
  <c r="T340" i="13"/>
  <c r="W339" i="13"/>
  <c r="T339" i="13"/>
  <c r="W338" i="13"/>
  <c r="T338" i="13"/>
  <c r="W337" i="13"/>
  <c r="T337" i="13"/>
  <c r="W336" i="13"/>
  <c r="T336" i="13"/>
  <c r="W335" i="13"/>
  <c r="T335" i="13"/>
  <c r="W334" i="13"/>
  <c r="T334" i="13"/>
  <c r="W333" i="13"/>
  <c r="T333" i="13"/>
  <c r="W332" i="13"/>
  <c r="T332" i="13"/>
  <c r="W331" i="13"/>
  <c r="T331" i="13"/>
  <c r="W330" i="13"/>
  <c r="T330" i="13"/>
  <c r="W329" i="13"/>
  <c r="T329" i="13"/>
  <c r="W328" i="13"/>
  <c r="T328" i="13"/>
  <c r="W327" i="13"/>
  <c r="T327" i="13"/>
  <c r="W326" i="13"/>
  <c r="T326" i="13"/>
  <c r="W325" i="13"/>
  <c r="T325" i="13"/>
  <c r="W324" i="13"/>
  <c r="T324" i="13"/>
  <c r="W323" i="13"/>
  <c r="T323" i="13"/>
  <c r="W322" i="13"/>
  <c r="T322" i="13"/>
  <c r="W321" i="13"/>
  <c r="T321" i="13"/>
  <c r="W320" i="13"/>
  <c r="T320" i="13"/>
  <c r="W319" i="13"/>
  <c r="T319" i="13"/>
  <c r="W318" i="13"/>
  <c r="T318" i="13"/>
  <c r="W317" i="13"/>
  <c r="T317" i="13"/>
  <c r="W316" i="13"/>
  <c r="T316" i="13"/>
  <c r="W315" i="13"/>
  <c r="T315" i="13"/>
  <c r="W314" i="13"/>
  <c r="T314" i="13"/>
  <c r="W313" i="13"/>
  <c r="T313" i="13"/>
  <c r="O313" i="13"/>
  <c r="W312" i="13"/>
  <c r="T312" i="13"/>
  <c r="W311" i="13"/>
  <c r="T311" i="13"/>
  <c r="O311" i="13"/>
  <c r="W310" i="13"/>
  <c r="T310" i="13"/>
  <c r="W309" i="13"/>
  <c r="T309" i="13"/>
  <c r="W308" i="13"/>
  <c r="T308" i="13"/>
  <c r="W307" i="13"/>
  <c r="T307" i="13"/>
  <c r="W306" i="13"/>
  <c r="T306" i="13"/>
  <c r="W305" i="13"/>
  <c r="T305" i="13"/>
  <c r="W304" i="13"/>
  <c r="T304" i="13"/>
  <c r="W303" i="13"/>
  <c r="T303" i="13"/>
  <c r="W302" i="13"/>
  <c r="T302" i="13"/>
  <c r="W301" i="13"/>
  <c r="T301" i="13"/>
  <c r="O301" i="13"/>
  <c r="W300" i="13"/>
  <c r="T300" i="13"/>
  <c r="W299" i="13"/>
  <c r="T299" i="13"/>
  <c r="W298" i="13"/>
  <c r="T298" i="13"/>
  <c r="W297" i="13"/>
  <c r="T297" i="13"/>
  <c r="W296" i="13"/>
  <c r="T296" i="13"/>
  <c r="W295" i="13"/>
  <c r="T295" i="13"/>
  <c r="O295" i="13"/>
  <c r="W294" i="13"/>
  <c r="T294" i="13"/>
  <c r="W293" i="13"/>
  <c r="T293" i="13"/>
  <c r="W292" i="13"/>
  <c r="T292" i="13"/>
  <c r="W291" i="13"/>
  <c r="T291" i="13"/>
  <c r="W290" i="13"/>
  <c r="T290" i="13"/>
  <c r="W289" i="13"/>
  <c r="T289" i="13"/>
  <c r="W288" i="13"/>
  <c r="T288" i="13"/>
  <c r="W287" i="13"/>
  <c r="T287" i="13"/>
  <c r="W286" i="13"/>
  <c r="T286" i="13"/>
  <c r="W285" i="13"/>
  <c r="T285" i="13"/>
  <c r="W284" i="13"/>
  <c r="T284" i="13"/>
  <c r="W283" i="13"/>
  <c r="T283" i="13"/>
  <c r="W282" i="13"/>
  <c r="T282" i="13"/>
  <c r="W281" i="13"/>
  <c r="T281" i="13"/>
  <c r="O281" i="13"/>
  <c r="W280" i="13"/>
  <c r="T280" i="13"/>
  <c r="W279" i="13"/>
  <c r="T279" i="13"/>
  <c r="W278" i="13"/>
  <c r="T278" i="13"/>
  <c r="W277" i="13"/>
  <c r="T277" i="13"/>
  <c r="W276" i="13"/>
  <c r="T276" i="13"/>
  <c r="W275" i="13"/>
  <c r="T275" i="13"/>
  <c r="O275" i="13"/>
  <c r="W274" i="13"/>
  <c r="T274" i="13"/>
  <c r="W273" i="13"/>
  <c r="T273" i="13"/>
  <c r="W272" i="13"/>
  <c r="T272" i="13"/>
  <c r="W271" i="13"/>
  <c r="T271" i="13"/>
  <c r="O271" i="13"/>
  <c r="W270" i="13"/>
  <c r="T270" i="13"/>
  <c r="W269" i="13"/>
  <c r="T269" i="13"/>
  <c r="W268" i="13"/>
  <c r="T268" i="13"/>
  <c r="W267" i="13"/>
  <c r="T267" i="13"/>
  <c r="O267" i="13"/>
  <c r="W266" i="13"/>
  <c r="T266" i="13"/>
  <c r="W265" i="13"/>
  <c r="T265" i="13"/>
  <c r="W264" i="13"/>
  <c r="T264" i="13"/>
  <c r="W263" i="13"/>
  <c r="T263" i="13"/>
  <c r="O263" i="13"/>
  <c r="W262" i="13"/>
  <c r="T262" i="13"/>
  <c r="W261" i="13"/>
  <c r="T261" i="13"/>
  <c r="W260" i="13"/>
  <c r="T260" i="13"/>
  <c r="W259" i="13"/>
  <c r="T259" i="13"/>
  <c r="O259" i="13"/>
  <c r="W258" i="13"/>
  <c r="T258" i="13"/>
  <c r="W257" i="13"/>
  <c r="T257" i="13"/>
  <c r="W256" i="13"/>
  <c r="T256" i="13"/>
  <c r="W255" i="13"/>
  <c r="T255" i="13"/>
  <c r="O255" i="13"/>
  <c r="W254" i="13"/>
  <c r="T254" i="13"/>
  <c r="W253" i="13"/>
  <c r="T253" i="13"/>
  <c r="O253" i="13"/>
  <c r="N253" i="13"/>
  <c r="N265" i="13" s="1"/>
  <c r="N277" i="13" s="1"/>
  <c r="N289" i="13" s="1"/>
  <c r="N301" i="13" s="1"/>
  <c r="N313" i="13" s="1"/>
  <c r="N325" i="13" s="1"/>
  <c r="N337" i="13" s="1"/>
  <c r="N349" i="13" s="1"/>
  <c r="N361" i="13" s="1"/>
  <c r="O361" i="13" s="1"/>
  <c r="W252" i="13"/>
  <c r="T252" i="13"/>
  <c r="O252" i="13"/>
  <c r="N252" i="13"/>
  <c r="N264" i="13" s="1"/>
  <c r="N276" i="13" s="1"/>
  <c r="N288" i="13" s="1"/>
  <c r="W251" i="13"/>
  <c r="T251" i="13"/>
  <c r="O251" i="13"/>
  <c r="N251" i="13"/>
  <c r="N263" i="13" s="1"/>
  <c r="N275" i="13" s="1"/>
  <c r="N287" i="13" s="1"/>
  <c r="N299" i="13" s="1"/>
  <c r="N311" i="13" s="1"/>
  <c r="N323" i="13" s="1"/>
  <c r="N335" i="13" s="1"/>
  <c r="N347" i="13" s="1"/>
  <c r="N359" i="13" s="1"/>
  <c r="W250" i="13"/>
  <c r="T250" i="13"/>
  <c r="O250" i="13"/>
  <c r="N250" i="13"/>
  <c r="N262" i="13" s="1"/>
  <c r="N274" i="13" s="1"/>
  <c r="N286" i="13" s="1"/>
  <c r="W249" i="13"/>
  <c r="T249" i="13"/>
  <c r="O249" i="13"/>
  <c r="N249" i="13"/>
  <c r="N261" i="13" s="1"/>
  <c r="N273" i="13" s="1"/>
  <c r="N285" i="13" s="1"/>
  <c r="N297" i="13" s="1"/>
  <c r="N309" i="13" s="1"/>
  <c r="N321" i="13" s="1"/>
  <c r="N333" i="13" s="1"/>
  <c r="N345" i="13" s="1"/>
  <c r="N357" i="13" s="1"/>
  <c r="O357" i="13" s="1"/>
  <c r="W248" i="13"/>
  <c r="T248" i="13"/>
  <c r="O248" i="13"/>
  <c r="N248" i="13"/>
  <c r="N260" i="13" s="1"/>
  <c r="W247" i="13"/>
  <c r="T247" i="13"/>
  <c r="O247" i="13"/>
  <c r="N247" i="13"/>
  <c r="N259" i="13" s="1"/>
  <c r="N271" i="13" s="1"/>
  <c r="N283" i="13" s="1"/>
  <c r="N295" i="13" s="1"/>
  <c r="N307" i="13" s="1"/>
  <c r="N319" i="13" s="1"/>
  <c r="N331" i="13" s="1"/>
  <c r="N343" i="13" s="1"/>
  <c r="N355" i="13" s="1"/>
  <c r="O355" i="13" s="1"/>
  <c r="W246" i="13"/>
  <c r="T246" i="13"/>
  <c r="O246" i="13"/>
  <c r="N246" i="13"/>
  <c r="N258" i="13" s="1"/>
  <c r="N270" i="13" s="1"/>
  <c r="N282" i="13" s="1"/>
  <c r="W245" i="13"/>
  <c r="T245" i="13"/>
  <c r="O245" i="13"/>
  <c r="N245" i="13"/>
  <c r="N257" i="13" s="1"/>
  <c r="N269" i="13" s="1"/>
  <c r="N281" i="13" s="1"/>
  <c r="N293" i="13" s="1"/>
  <c r="N305" i="13" s="1"/>
  <c r="N317" i="13" s="1"/>
  <c r="N329" i="13" s="1"/>
  <c r="N341" i="13" s="1"/>
  <c r="N353" i="13" s="1"/>
  <c r="O353" i="13" s="1"/>
  <c r="W244" i="13"/>
  <c r="T244" i="13"/>
  <c r="O244" i="13"/>
  <c r="N244" i="13"/>
  <c r="N256" i="13" s="1"/>
  <c r="N268" i="13" s="1"/>
  <c r="N280" i="13" s="1"/>
  <c r="W243" i="13"/>
  <c r="T243" i="13"/>
  <c r="O243" i="13"/>
  <c r="N243" i="13"/>
  <c r="N255" i="13" s="1"/>
  <c r="N267" i="13" s="1"/>
  <c r="N279" i="13" s="1"/>
  <c r="W242" i="13"/>
  <c r="T242" i="13"/>
  <c r="O242" i="13"/>
  <c r="N242" i="13"/>
  <c r="N254" i="13" s="1"/>
  <c r="N266" i="13" s="1"/>
  <c r="O266" i="13" s="1"/>
  <c r="W241" i="13"/>
  <c r="T241" i="13"/>
  <c r="O241" i="13"/>
  <c r="W240" i="13"/>
  <c r="T240" i="13"/>
  <c r="O240" i="13"/>
  <c r="W239" i="13"/>
  <c r="T239" i="13"/>
  <c r="O239" i="13"/>
  <c r="W238" i="13"/>
  <c r="T238" i="13"/>
  <c r="O238" i="13"/>
  <c r="W237" i="13"/>
  <c r="T237" i="13"/>
  <c r="O237" i="13"/>
  <c r="W236" i="13"/>
  <c r="T236" i="13"/>
  <c r="O236" i="13"/>
  <c r="W235" i="13"/>
  <c r="T235" i="13"/>
  <c r="O235" i="13"/>
  <c r="W234" i="13"/>
  <c r="T234" i="13"/>
  <c r="O234" i="13"/>
  <c r="W233" i="13"/>
  <c r="T233" i="13"/>
  <c r="O233" i="13"/>
  <c r="W232" i="13"/>
  <c r="T232" i="13"/>
  <c r="O232" i="13"/>
  <c r="W231" i="13"/>
  <c r="T231" i="13"/>
  <c r="O231" i="13"/>
  <c r="W230" i="13"/>
  <c r="T230" i="13"/>
  <c r="O230" i="13"/>
  <c r="W229" i="13"/>
  <c r="T229" i="13"/>
  <c r="O229" i="13"/>
  <c r="W228" i="13"/>
  <c r="T228" i="13"/>
  <c r="O228" i="13"/>
  <c r="W227" i="13"/>
  <c r="T227" i="13"/>
  <c r="O227" i="13"/>
  <c r="W226" i="13"/>
  <c r="T226" i="13"/>
  <c r="O226" i="13"/>
  <c r="W225" i="13"/>
  <c r="T225" i="13"/>
  <c r="O225" i="13"/>
  <c r="W224" i="13"/>
  <c r="T224" i="13"/>
  <c r="O224" i="13"/>
  <c r="W223" i="13"/>
  <c r="T223" i="13"/>
  <c r="O223" i="13"/>
  <c r="W222" i="13"/>
  <c r="T222" i="13"/>
  <c r="O222" i="13"/>
  <c r="W221" i="13"/>
  <c r="T221" i="13"/>
  <c r="O221" i="13"/>
  <c r="W220" i="13"/>
  <c r="T220" i="13"/>
  <c r="O220" i="13"/>
  <c r="W219" i="13"/>
  <c r="T219" i="13"/>
  <c r="O219" i="13"/>
  <c r="W218" i="13"/>
  <c r="T218" i="13"/>
  <c r="O218" i="13"/>
  <c r="W217" i="13"/>
  <c r="T217" i="13"/>
  <c r="O217" i="13"/>
  <c r="W216" i="13"/>
  <c r="T216" i="13"/>
  <c r="O216" i="13"/>
  <c r="W215" i="13"/>
  <c r="T215" i="13"/>
  <c r="O215" i="13"/>
  <c r="W214" i="13"/>
  <c r="T214" i="13"/>
  <c r="O214" i="13"/>
  <c r="W213" i="13"/>
  <c r="T213" i="13"/>
  <c r="O213" i="13"/>
  <c r="W212" i="13"/>
  <c r="T212" i="13"/>
  <c r="O212" i="13"/>
  <c r="W211" i="13"/>
  <c r="T211" i="13"/>
  <c r="O211" i="13"/>
  <c r="W210" i="13"/>
  <c r="T210" i="13"/>
  <c r="O210" i="13"/>
  <c r="W209" i="13"/>
  <c r="T209" i="13"/>
  <c r="O209" i="13"/>
  <c r="W208" i="13"/>
  <c r="T208" i="13"/>
  <c r="O208" i="13"/>
  <c r="W207" i="13"/>
  <c r="T207" i="13"/>
  <c r="O207" i="13"/>
  <c r="W206" i="13"/>
  <c r="T206" i="13"/>
  <c r="O206" i="13"/>
  <c r="W205" i="13"/>
  <c r="T205" i="13"/>
  <c r="O205" i="13"/>
  <c r="W204" i="13"/>
  <c r="T204" i="13"/>
  <c r="O204" i="13"/>
  <c r="W203" i="13"/>
  <c r="T203" i="13"/>
  <c r="O203" i="13"/>
  <c r="W202" i="13"/>
  <c r="T202" i="13"/>
  <c r="O202" i="13"/>
  <c r="W201" i="13"/>
  <c r="T201" i="13"/>
  <c r="O201" i="13"/>
  <c r="W200" i="13"/>
  <c r="T200" i="13"/>
  <c r="O200" i="13"/>
  <c r="W199" i="13"/>
  <c r="T199" i="13"/>
  <c r="O199" i="13"/>
  <c r="W198" i="13"/>
  <c r="T198" i="13"/>
  <c r="O198" i="13"/>
  <c r="W197" i="13"/>
  <c r="T197" i="13"/>
  <c r="O197" i="13"/>
  <c r="W196" i="13"/>
  <c r="T196" i="13"/>
  <c r="O196" i="13"/>
  <c r="W195" i="13"/>
  <c r="T195" i="13"/>
  <c r="O195" i="13"/>
  <c r="W194" i="13"/>
  <c r="T194" i="13"/>
  <c r="O194" i="13"/>
  <c r="W193" i="13"/>
  <c r="T193" i="13"/>
  <c r="O193" i="13"/>
  <c r="W192" i="13"/>
  <c r="T192" i="13"/>
  <c r="O192" i="13"/>
  <c r="W191" i="13"/>
  <c r="T191" i="13"/>
  <c r="S191" i="13"/>
  <c r="S203" i="13" s="1"/>
  <c r="O191" i="13"/>
  <c r="W190" i="13"/>
  <c r="T190" i="13"/>
  <c r="Q190" i="13"/>
  <c r="Q202" i="13" s="1"/>
  <c r="O190" i="13"/>
  <c r="W189" i="13"/>
  <c r="T189" i="13"/>
  <c r="S189" i="13"/>
  <c r="S201" i="13" s="1"/>
  <c r="O189" i="13"/>
  <c r="W188" i="13"/>
  <c r="T188" i="13"/>
  <c r="S188" i="13"/>
  <c r="Q188" i="13"/>
  <c r="Q200" i="13" s="1"/>
  <c r="O188" i="13"/>
  <c r="W187" i="13"/>
  <c r="T187" i="13"/>
  <c r="Q187" i="13"/>
  <c r="O187" i="13"/>
  <c r="W186" i="13"/>
  <c r="T186" i="13"/>
  <c r="O186" i="13"/>
  <c r="W185" i="13"/>
  <c r="T185" i="13"/>
  <c r="O185" i="13"/>
  <c r="W184" i="13"/>
  <c r="T184" i="13"/>
  <c r="O184" i="13"/>
  <c r="W183" i="13"/>
  <c r="T183" i="13"/>
  <c r="S183" i="13"/>
  <c r="S195" i="13" s="1"/>
  <c r="O183" i="13"/>
  <c r="W182" i="13"/>
  <c r="T182" i="13"/>
  <c r="Q182" i="13"/>
  <c r="Q194" i="13" s="1"/>
  <c r="O182" i="13"/>
  <c r="W181" i="13"/>
  <c r="T181" i="13"/>
  <c r="S181" i="13"/>
  <c r="S193" i="13" s="1"/>
  <c r="Q181" i="13"/>
  <c r="Q193" i="13" s="1"/>
  <c r="O181" i="13"/>
  <c r="W180" i="13"/>
  <c r="T180" i="13"/>
  <c r="S180" i="13"/>
  <c r="Q180" i="13"/>
  <c r="Q192" i="13" s="1"/>
  <c r="O180" i="13"/>
  <c r="W179" i="13"/>
  <c r="T179" i="13"/>
  <c r="S179" i="13"/>
  <c r="Q179" i="13"/>
  <c r="O179" i="13"/>
  <c r="W178" i="13"/>
  <c r="T178" i="13"/>
  <c r="S178" i="13"/>
  <c r="S190" i="13" s="1"/>
  <c r="Q178" i="13"/>
  <c r="O178" i="13"/>
  <c r="W177" i="13"/>
  <c r="T177" i="13"/>
  <c r="S177" i="13"/>
  <c r="Q177" i="13"/>
  <c r="Q189" i="13" s="1"/>
  <c r="O177" i="13"/>
  <c r="W176" i="13"/>
  <c r="T176" i="13"/>
  <c r="S176" i="13"/>
  <c r="Q176" i="13"/>
  <c r="O176" i="13"/>
  <c r="W175" i="13"/>
  <c r="T175" i="13"/>
  <c r="S175" i="13"/>
  <c r="S187" i="13" s="1"/>
  <c r="Q175" i="13"/>
  <c r="O175" i="13"/>
  <c r="W174" i="13"/>
  <c r="T174" i="13"/>
  <c r="S174" i="13"/>
  <c r="S186" i="13" s="1"/>
  <c r="Q174" i="13"/>
  <c r="Q186" i="13" s="1"/>
  <c r="O174" i="13"/>
  <c r="W173" i="13"/>
  <c r="T173" i="13"/>
  <c r="S173" i="13"/>
  <c r="S185" i="13" s="1"/>
  <c r="Q173" i="13"/>
  <c r="Q185" i="13" s="1"/>
  <c r="O173" i="13"/>
  <c r="W172" i="13"/>
  <c r="T172" i="13"/>
  <c r="S172" i="13"/>
  <c r="Q172" i="13"/>
  <c r="Q184" i="13" s="1"/>
  <c r="O172" i="13"/>
  <c r="W171" i="13"/>
  <c r="T171" i="13"/>
  <c r="S171" i="13"/>
  <c r="Q171" i="13"/>
  <c r="O171" i="13"/>
  <c r="W170" i="13"/>
  <c r="T170" i="13"/>
  <c r="S170" i="13"/>
  <c r="S182" i="13" s="1"/>
  <c r="Q170" i="13"/>
  <c r="O170" i="13"/>
  <c r="W169" i="13"/>
  <c r="T169" i="13"/>
  <c r="O169" i="13"/>
  <c r="W168" i="13"/>
  <c r="T168" i="13"/>
  <c r="O168" i="13"/>
  <c r="W167" i="13"/>
  <c r="T167" i="13"/>
  <c r="O167" i="13"/>
  <c r="W166" i="13"/>
  <c r="T166" i="13"/>
  <c r="O166" i="13"/>
  <c r="W165" i="13"/>
  <c r="T165" i="13"/>
  <c r="O165" i="13"/>
  <c r="W164" i="13"/>
  <c r="T164" i="13"/>
  <c r="O164" i="13"/>
  <c r="W163" i="13"/>
  <c r="T163" i="13"/>
  <c r="O163" i="13"/>
  <c r="W162" i="13"/>
  <c r="T162" i="13"/>
  <c r="O162" i="13"/>
  <c r="W161" i="13"/>
  <c r="T161" i="13"/>
  <c r="O161" i="13"/>
  <c r="W160" i="13"/>
  <c r="T160" i="13"/>
  <c r="O160" i="13"/>
  <c r="W159" i="13"/>
  <c r="T159" i="13"/>
  <c r="O159" i="13"/>
  <c r="W158" i="13"/>
  <c r="T158" i="13"/>
  <c r="O158" i="13"/>
  <c r="W157" i="13"/>
  <c r="T157" i="13"/>
  <c r="O157" i="13"/>
  <c r="W156" i="13"/>
  <c r="T156" i="13"/>
  <c r="O156" i="13"/>
  <c r="W155" i="13"/>
  <c r="T155" i="13"/>
  <c r="O155" i="13"/>
  <c r="W154" i="13"/>
  <c r="T154" i="13"/>
  <c r="O154" i="13"/>
  <c r="W153" i="13"/>
  <c r="T153" i="13"/>
  <c r="O153" i="13"/>
  <c r="W152" i="13"/>
  <c r="T152" i="13"/>
  <c r="O152" i="13"/>
  <c r="W151" i="13"/>
  <c r="T151" i="13"/>
  <c r="O151" i="13"/>
  <c r="W150" i="13"/>
  <c r="T150" i="13"/>
  <c r="O150" i="13"/>
  <c r="W149" i="13"/>
  <c r="T149" i="13"/>
  <c r="O149" i="13"/>
  <c r="W148" i="13"/>
  <c r="T148" i="13"/>
  <c r="O148" i="13"/>
  <c r="W147" i="13"/>
  <c r="T147" i="13"/>
  <c r="O147" i="13"/>
  <c r="W146" i="13"/>
  <c r="T146" i="13"/>
  <c r="O146" i="13"/>
  <c r="W145" i="13"/>
  <c r="T145" i="13"/>
  <c r="O145" i="13"/>
  <c r="W144" i="13"/>
  <c r="T144" i="13"/>
  <c r="O144" i="13"/>
  <c r="W143" i="13"/>
  <c r="T143" i="13"/>
  <c r="O143" i="13"/>
  <c r="W142" i="13"/>
  <c r="T142" i="13"/>
  <c r="O142" i="13"/>
  <c r="W141" i="13"/>
  <c r="T141" i="13"/>
  <c r="O141" i="13"/>
  <c r="W140" i="13"/>
  <c r="T140" i="13"/>
  <c r="O140" i="13"/>
  <c r="W139" i="13"/>
  <c r="T139" i="13"/>
  <c r="O139" i="13"/>
  <c r="W138" i="13"/>
  <c r="T138" i="13"/>
  <c r="O138" i="13"/>
  <c r="W137" i="13"/>
  <c r="T137" i="13"/>
  <c r="O137" i="13"/>
  <c r="W136" i="13"/>
  <c r="T136" i="13"/>
  <c r="O136" i="13"/>
  <c r="W135" i="13"/>
  <c r="T135" i="13"/>
  <c r="O135" i="13"/>
  <c r="W134" i="13"/>
  <c r="T134" i="13"/>
  <c r="O134" i="13"/>
  <c r="W133" i="13"/>
  <c r="T133" i="13"/>
  <c r="O133" i="13"/>
  <c r="W132" i="13"/>
  <c r="T132" i="13"/>
  <c r="O132" i="13"/>
  <c r="W131" i="13"/>
  <c r="T131" i="13"/>
  <c r="O131" i="13"/>
  <c r="W130" i="13"/>
  <c r="T130" i="13"/>
  <c r="O130" i="13"/>
  <c r="W129" i="13"/>
  <c r="T129" i="13"/>
  <c r="O129" i="13"/>
  <c r="W128" i="13"/>
  <c r="T128" i="13"/>
  <c r="O128" i="13"/>
  <c r="W127" i="13"/>
  <c r="T127" i="13"/>
  <c r="O127" i="13"/>
  <c r="W126" i="13"/>
  <c r="T126" i="13"/>
  <c r="O126" i="13"/>
  <c r="W125" i="13"/>
  <c r="T125" i="13"/>
  <c r="O125" i="13"/>
  <c r="W124" i="13"/>
  <c r="T124" i="13"/>
  <c r="O124" i="13"/>
  <c r="W123" i="13"/>
  <c r="T123" i="13"/>
  <c r="O123" i="13"/>
  <c r="W122" i="13"/>
  <c r="T122" i="13"/>
  <c r="O122" i="13"/>
  <c r="W121" i="13"/>
  <c r="T121" i="13"/>
  <c r="O121" i="13"/>
  <c r="W120" i="13"/>
  <c r="T120" i="13"/>
  <c r="O120" i="13"/>
  <c r="W119" i="13"/>
  <c r="T119" i="13"/>
  <c r="O119" i="13"/>
  <c r="W118" i="13"/>
  <c r="T118" i="13"/>
  <c r="O118" i="13"/>
  <c r="W117" i="13"/>
  <c r="T117" i="13"/>
  <c r="O117" i="13"/>
  <c r="W116" i="13"/>
  <c r="T116" i="13"/>
  <c r="O116" i="13"/>
  <c r="W115" i="13"/>
  <c r="T115" i="13"/>
  <c r="O115" i="13"/>
  <c r="W114" i="13"/>
  <c r="T114" i="13"/>
  <c r="O114" i="13"/>
  <c r="W113" i="13"/>
  <c r="T113" i="13"/>
  <c r="O113" i="13"/>
  <c r="W112" i="13"/>
  <c r="T112" i="13"/>
  <c r="O112" i="13"/>
  <c r="W111" i="13"/>
  <c r="T111" i="13"/>
  <c r="O111" i="13"/>
  <c r="W110" i="13"/>
  <c r="T110" i="13"/>
  <c r="O110" i="13"/>
  <c r="W109" i="13"/>
  <c r="T109" i="13"/>
  <c r="O109" i="13"/>
  <c r="W108" i="13"/>
  <c r="T108" i="13"/>
  <c r="O108" i="13"/>
  <c r="W107" i="13"/>
  <c r="T107" i="13"/>
  <c r="O107" i="13"/>
  <c r="W106" i="13"/>
  <c r="T106" i="13"/>
  <c r="O106" i="13"/>
  <c r="W105" i="13"/>
  <c r="T105" i="13"/>
  <c r="O105" i="13"/>
  <c r="W104" i="13"/>
  <c r="T104" i="13"/>
  <c r="O104" i="13"/>
  <c r="W103" i="13"/>
  <c r="T103" i="13"/>
  <c r="O103" i="13"/>
  <c r="W102" i="13"/>
  <c r="T102" i="13"/>
  <c r="O102" i="13"/>
  <c r="W101" i="13"/>
  <c r="T101" i="13"/>
  <c r="O101" i="13"/>
  <c r="W100" i="13"/>
  <c r="T100" i="13"/>
  <c r="O100" i="13"/>
  <c r="W99" i="13"/>
  <c r="T99" i="13"/>
  <c r="O99" i="13"/>
  <c r="W98" i="13"/>
  <c r="T98" i="13"/>
  <c r="O98" i="13"/>
  <c r="W97" i="13"/>
  <c r="T97" i="13"/>
  <c r="O97" i="13"/>
  <c r="W96" i="13"/>
  <c r="T96" i="13"/>
  <c r="O96" i="13"/>
  <c r="W95" i="13"/>
  <c r="T95" i="13"/>
  <c r="O95" i="13"/>
  <c r="W94" i="13"/>
  <c r="T94" i="13"/>
  <c r="O94" i="13"/>
  <c r="W93" i="13"/>
  <c r="T93" i="13"/>
  <c r="O93" i="13"/>
  <c r="W92" i="13"/>
  <c r="T92" i="13"/>
  <c r="O92" i="13"/>
  <c r="W91" i="13"/>
  <c r="T91" i="13"/>
  <c r="O91" i="13"/>
  <c r="W90" i="13"/>
  <c r="T90" i="13"/>
  <c r="O90" i="13"/>
  <c r="W89" i="13"/>
  <c r="T89" i="13"/>
  <c r="O89" i="13"/>
  <c r="W88" i="13"/>
  <c r="T88" i="13"/>
  <c r="O88" i="13"/>
  <c r="W87" i="13"/>
  <c r="T87" i="13"/>
  <c r="O87" i="13"/>
  <c r="W86" i="13"/>
  <c r="T86" i="13"/>
  <c r="O86" i="13"/>
  <c r="W85" i="13"/>
  <c r="T85" i="13"/>
  <c r="O85" i="13"/>
  <c r="W84" i="13"/>
  <c r="T84" i="13"/>
  <c r="O84" i="13"/>
  <c r="W83" i="13"/>
  <c r="T83" i="13"/>
  <c r="O83" i="13"/>
  <c r="W82" i="13"/>
  <c r="T82" i="13"/>
  <c r="O82" i="13"/>
  <c r="W81" i="13"/>
  <c r="T81" i="13"/>
  <c r="O81" i="13"/>
  <c r="W80" i="13"/>
  <c r="T80" i="13"/>
  <c r="O80" i="13"/>
  <c r="W79" i="13"/>
  <c r="T79" i="13"/>
  <c r="O79" i="13"/>
  <c r="W78" i="13"/>
  <c r="T78" i="13"/>
  <c r="O78" i="13"/>
  <c r="W77" i="13"/>
  <c r="T77" i="13"/>
  <c r="O77" i="13"/>
  <c r="W76" i="13"/>
  <c r="T76" i="13"/>
  <c r="O76" i="13"/>
  <c r="W75" i="13"/>
  <c r="T75" i="13"/>
  <c r="O75" i="13"/>
  <c r="W74" i="13"/>
  <c r="T74" i="13"/>
  <c r="O74" i="13"/>
  <c r="W73" i="13"/>
  <c r="T73" i="13"/>
  <c r="O73" i="13"/>
  <c r="W72" i="13"/>
  <c r="T72" i="13"/>
  <c r="O72" i="13"/>
  <c r="W71" i="13"/>
  <c r="T71" i="13"/>
  <c r="O71" i="13"/>
  <c r="W70" i="13"/>
  <c r="T70" i="13"/>
  <c r="O70" i="13"/>
  <c r="W69" i="13"/>
  <c r="T69" i="13"/>
  <c r="O69" i="13"/>
  <c r="W68" i="13"/>
  <c r="T68" i="13"/>
  <c r="O68" i="13"/>
  <c r="W67" i="13"/>
  <c r="T67" i="13"/>
  <c r="O67" i="13"/>
  <c r="W66" i="13"/>
  <c r="T66" i="13"/>
  <c r="O66" i="13"/>
  <c r="W65" i="13"/>
  <c r="T65" i="13"/>
  <c r="O65" i="13"/>
  <c r="W64" i="13"/>
  <c r="T64" i="13"/>
  <c r="O64" i="13"/>
  <c r="AG63" i="13"/>
  <c r="W63" i="13"/>
  <c r="T63" i="13"/>
  <c r="O63" i="13"/>
  <c r="AG62" i="13"/>
  <c r="W62" i="13"/>
  <c r="T62" i="13"/>
  <c r="O62" i="13"/>
  <c r="AG61" i="13"/>
  <c r="W61" i="13"/>
  <c r="T61" i="13"/>
  <c r="O61" i="13"/>
  <c r="AG60" i="13"/>
  <c r="W60" i="13"/>
  <c r="T60" i="13"/>
  <c r="O60" i="13"/>
  <c r="AG59" i="13"/>
  <c r="W59" i="13"/>
  <c r="T59" i="13"/>
  <c r="O59" i="13"/>
  <c r="AG58" i="13"/>
  <c r="W58" i="13"/>
  <c r="T58" i="13"/>
  <c r="O58" i="13"/>
  <c r="AG57" i="13"/>
  <c r="W57" i="13"/>
  <c r="T57" i="13"/>
  <c r="O57" i="13"/>
  <c r="AG56" i="13"/>
  <c r="W56" i="13"/>
  <c r="T56" i="13"/>
  <c r="O56" i="13"/>
  <c r="AG55" i="13"/>
  <c r="W55" i="13"/>
  <c r="T55" i="13"/>
  <c r="O55" i="13"/>
  <c r="AG54" i="13"/>
  <c r="W54" i="13"/>
  <c r="T54" i="13"/>
  <c r="O54" i="13"/>
  <c r="AG53" i="13"/>
  <c r="W53" i="13"/>
  <c r="T53" i="13"/>
  <c r="O53" i="13"/>
  <c r="AG52" i="13"/>
  <c r="W52" i="13"/>
  <c r="T52" i="13"/>
  <c r="O52" i="13"/>
  <c r="AG51" i="13"/>
  <c r="W51" i="13"/>
  <c r="T51" i="13"/>
  <c r="O51" i="13"/>
  <c r="AG50" i="13"/>
  <c r="W50" i="13"/>
  <c r="T50" i="13"/>
  <c r="O50" i="13"/>
  <c r="AG49" i="13"/>
  <c r="W49" i="13"/>
  <c r="T49" i="13"/>
  <c r="O49" i="13"/>
  <c r="AG48" i="13"/>
  <c r="W48" i="13"/>
  <c r="T48" i="13"/>
  <c r="O48" i="13"/>
  <c r="AG47" i="13"/>
  <c r="W47" i="13"/>
  <c r="T47" i="13"/>
  <c r="O47" i="13"/>
  <c r="AG46" i="13"/>
  <c r="W46" i="13"/>
  <c r="T46" i="13"/>
  <c r="O46" i="13"/>
  <c r="AG45" i="13"/>
  <c r="W45" i="13"/>
  <c r="T45" i="13"/>
  <c r="O45" i="13"/>
  <c r="AG44" i="13"/>
  <c r="W44" i="13"/>
  <c r="T44" i="13"/>
  <c r="O44" i="13"/>
  <c r="AG43" i="13"/>
  <c r="W43" i="13"/>
  <c r="T43" i="13"/>
  <c r="O43" i="13"/>
  <c r="AG42" i="13"/>
  <c r="W42" i="13"/>
  <c r="T42" i="13"/>
  <c r="O42" i="13"/>
  <c r="AG41" i="13"/>
  <c r="W41" i="13"/>
  <c r="T41" i="13"/>
  <c r="O41" i="13"/>
  <c r="AG40" i="13"/>
  <c r="W40" i="13"/>
  <c r="T40" i="13"/>
  <c r="O40" i="13"/>
  <c r="AG39" i="13"/>
  <c r="W39" i="13"/>
  <c r="T39" i="13"/>
  <c r="O39" i="13"/>
  <c r="AG38" i="13"/>
  <c r="W38" i="13"/>
  <c r="T38" i="13"/>
  <c r="O38" i="13"/>
  <c r="AG37" i="13"/>
  <c r="W37" i="13"/>
  <c r="T37" i="13"/>
  <c r="O37" i="13"/>
  <c r="AG36" i="13"/>
  <c r="W36" i="13"/>
  <c r="T36" i="13"/>
  <c r="O36" i="13"/>
  <c r="AG35" i="13"/>
  <c r="W35" i="13"/>
  <c r="T35" i="13"/>
  <c r="O35" i="13"/>
  <c r="AG34" i="13"/>
  <c r="W34" i="13"/>
  <c r="T34" i="13"/>
  <c r="O34" i="13"/>
  <c r="W33" i="13"/>
  <c r="T33" i="13"/>
  <c r="O33" i="13"/>
  <c r="W32" i="13"/>
  <c r="T32" i="13"/>
  <c r="O32" i="13"/>
  <c r="AG31" i="13"/>
  <c r="W31" i="13"/>
  <c r="T31" i="13"/>
  <c r="O31" i="13"/>
  <c r="AG30" i="13"/>
  <c r="W30" i="13"/>
  <c r="T30" i="13"/>
  <c r="O30" i="13"/>
  <c r="AG29" i="13"/>
  <c r="W29" i="13"/>
  <c r="T29" i="13"/>
  <c r="O29" i="13"/>
  <c r="AG28" i="13"/>
  <c r="W28" i="13"/>
  <c r="T28" i="13"/>
  <c r="O28" i="13"/>
  <c r="AG27" i="13"/>
  <c r="W27" i="13"/>
  <c r="T27" i="13"/>
  <c r="O27" i="13"/>
  <c r="AG26" i="13"/>
  <c r="W26" i="13"/>
  <c r="T26" i="13"/>
  <c r="O26" i="13"/>
  <c r="AG25" i="13"/>
  <c r="W25" i="13"/>
  <c r="T25" i="13"/>
  <c r="O25" i="13"/>
  <c r="AG24" i="13"/>
  <c r="W24" i="13"/>
  <c r="T24" i="13"/>
  <c r="O24" i="13"/>
  <c r="AG23" i="13"/>
  <c r="W23" i="13"/>
  <c r="T23" i="13"/>
  <c r="O23" i="13"/>
  <c r="AG22" i="13"/>
  <c r="W22" i="13"/>
  <c r="T22" i="13"/>
  <c r="O22" i="13"/>
  <c r="AG21" i="13"/>
  <c r="W21" i="13"/>
  <c r="T21" i="13"/>
  <c r="O21" i="13"/>
  <c r="AG20" i="13"/>
  <c r="W20" i="13"/>
  <c r="T20" i="13"/>
  <c r="O20" i="13"/>
  <c r="AG19" i="13"/>
  <c r="W19" i="13"/>
  <c r="T19" i="13"/>
  <c r="O19" i="13"/>
  <c r="AG18" i="13"/>
  <c r="W18" i="13"/>
  <c r="T18" i="13"/>
  <c r="O18" i="13"/>
  <c r="E18" i="13"/>
  <c r="AG17" i="13"/>
  <c r="W17" i="13"/>
  <c r="T17" i="13"/>
  <c r="O17" i="13"/>
  <c r="E17" i="13"/>
  <c r="AG16" i="13"/>
  <c r="W16" i="13"/>
  <c r="T16" i="13"/>
  <c r="O16" i="13"/>
  <c r="AG15" i="13"/>
  <c r="W15" i="13"/>
  <c r="T15" i="13"/>
  <c r="O15" i="13"/>
  <c r="AG14" i="13"/>
  <c r="W14" i="13"/>
  <c r="T14" i="13"/>
  <c r="O14" i="13"/>
  <c r="AG13" i="13"/>
  <c r="W13" i="13"/>
  <c r="T13" i="13"/>
  <c r="O13" i="13"/>
  <c r="AG12" i="13"/>
  <c r="W12" i="13"/>
  <c r="T12" i="13"/>
  <c r="O12" i="13"/>
  <c r="AG11" i="13"/>
  <c r="W11" i="13"/>
  <c r="T11" i="13"/>
  <c r="O11" i="13"/>
  <c r="AG10" i="13"/>
  <c r="W10" i="13"/>
  <c r="T10" i="13"/>
  <c r="O10" i="13"/>
  <c r="AG9" i="13"/>
  <c r="W9" i="13"/>
  <c r="T9" i="13"/>
  <c r="O9" i="13"/>
  <c r="AG8" i="13"/>
  <c r="W8" i="13"/>
  <c r="T8" i="13"/>
  <c r="O8" i="13"/>
  <c r="AG7" i="13"/>
  <c r="W7" i="13"/>
  <c r="T7" i="13"/>
  <c r="O7" i="13"/>
  <c r="AG6" i="13"/>
  <c r="W6" i="13"/>
  <c r="T6" i="13"/>
  <c r="O6" i="13"/>
  <c r="AG5" i="13"/>
  <c r="W5" i="13"/>
  <c r="T5" i="13"/>
  <c r="O5" i="13"/>
  <c r="AG4" i="13"/>
  <c r="W4" i="13"/>
  <c r="T4" i="13"/>
  <c r="O4" i="13"/>
  <c r="AG3" i="13"/>
  <c r="W3" i="13"/>
  <c r="T3" i="13"/>
  <c r="O3" i="13"/>
  <c r="AG2" i="13"/>
  <c r="W2" i="13"/>
  <c r="T2" i="13"/>
  <c r="O2" i="13"/>
  <c r="M37" i="12"/>
  <c r="M36" i="12"/>
  <c r="M35" i="12"/>
  <c r="M34" i="12"/>
  <c r="M33" i="12"/>
  <c r="M32" i="12"/>
  <c r="M31" i="12"/>
  <c r="M30" i="12"/>
  <c r="M29" i="12"/>
  <c r="M28" i="12"/>
  <c r="A28" i="12"/>
  <c r="M27" i="12"/>
  <c r="M26" i="12"/>
  <c r="M25" i="12"/>
  <c r="M24" i="12"/>
  <c r="M23" i="12"/>
  <c r="M22" i="12"/>
  <c r="M21" i="12"/>
  <c r="E21" i="12"/>
  <c r="M20" i="12"/>
  <c r="M19" i="12"/>
  <c r="E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M2" i="12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2" i="10"/>
  <c r="B6" i="10"/>
  <c r="A21" i="10" s="1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3" i="8"/>
  <c r="AG2" i="8"/>
  <c r="W2" i="8"/>
  <c r="W361" i="8"/>
  <c r="W360" i="8"/>
  <c r="W359" i="8"/>
  <c r="W358" i="8"/>
  <c r="W357" i="8"/>
  <c r="W356" i="8"/>
  <c r="W355" i="8"/>
  <c r="W354" i="8"/>
  <c r="W353" i="8"/>
  <c r="W352" i="8"/>
  <c r="W351" i="8"/>
  <c r="W350" i="8"/>
  <c r="W349" i="8"/>
  <c r="W348" i="8"/>
  <c r="W347" i="8"/>
  <c r="W346" i="8"/>
  <c r="W345" i="8"/>
  <c r="W344" i="8"/>
  <c r="W343" i="8"/>
  <c r="W342" i="8"/>
  <c r="W341" i="8"/>
  <c r="W340" i="8"/>
  <c r="W339" i="8"/>
  <c r="W338" i="8"/>
  <c r="W337" i="8"/>
  <c r="W336" i="8"/>
  <c r="W335" i="8"/>
  <c r="W334" i="8"/>
  <c r="W333" i="8"/>
  <c r="W332" i="8"/>
  <c r="W331" i="8"/>
  <c r="W330" i="8"/>
  <c r="W329" i="8"/>
  <c r="W328" i="8"/>
  <c r="W327" i="8"/>
  <c r="W326" i="8"/>
  <c r="W325" i="8"/>
  <c r="W324" i="8"/>
  <c r="W323" i="8"/>
  <c r="W322" i="8"/>
  <c r="W321" i="8"/>
  <c r="W320" i="8"/>
  <c r="W319" i="8"/>
  <c r="W318" i="8"/>
  <c r="W317" i="8"/>
  <c r="W316" i="8"/>
  <c r="W315" i="8"/>
  <c r="W314" i="8"/>
  <c r="W313" i="8"/>
  <c r="W312" i="8"/>
  <c r="W311" i="8"/>
  <c r="W310" i="8"/>
  <c r="W309" i="8"/>
  <c r="W308" i="8"/>
  <c r="W307" i="8"/>
  <c r="W306" i="8"/>
  <c r="W305" i="8"/>
  <c r="W304" i="8"/>
  <c r="W303" i="8"/>
  <c r="W302" i="8"/>
  <c r="W301" i="8"/>
  <c r="W300" i="8"/>
  <c r="W299" i="8"/>
  <c r="W298" i="8"/>
  <c r="W297" i="8"/>
  <c r="W296" i="8"/>
  <c r="W295" i="8"/>
  <c r="W294" i="8"/>
  <c r="W293" i="8"/>
  <c r="W292" i="8"/>
  <c r="W291" i="8"/>
  <c r="W290" i="8"/>
  <c r="W289" i="8"/>
  <c r="W288" i="8"/>
  <c r="W287" i="8"/>
  <c r="W286" i="8"/>
  <c r="W285" i="8"/>
  <c r="W284" i="8"/>
  <c r="W283" i="8"/>
  <c r="W282" i="8"/>
  <c r="W281" i="8"/>
  <c r="W280" i="8"/>
  <c r="W279" i="8"/>
  <c r="W278" i="8"/>
  <c r="W277" i="8"/>
  <c r="W276" i="8"/>
  <c r="W275" i="8"/>
  <c r="W274" i="8"/>
  <c r="W273" i="8"/>
  <c r="W272" i="8"/>
  <c r="W271" i="8"/>
  <c r="W270" i="8"/>
  <c r="W269" i="8"/>
  <c r="W268" i="8"/>
  <c r="W267" i="8"/>
  <c r="W266" i="8"/>
  <c r="W265" i="8"/>
  <c r="W264" i="8"/>
  <c r="W263" i="8"/>
  <c r="W262" i="8"/>
  <c r="W261" i="8"/>
  <c r="W260" i="8"/>
  <c r="W259" i="8"/>
  <c r="W258" i="8"/>
  <c r="W257" i="8"/>
  <c r="W256" i="8"/>
  <c r="W255" i="8"/>
  <c r="W254" i="8"/>
  <c r="W253" i="8"/>
  <c r="W252" i="8"/>
  <c r="W251" i="8"/>
  <c r="W250" i="8"/>
  <c r="W249" i="8"/>
  <c r="W248" i="8"/>
  <c r="W247" i="8"/>
  <c r="W246" i="8"/>
  <c r="W245" i="8"/>
  <c r="W244" i="8"/>
  <c r="W243" i="8"/>
  <c r="W24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A28" i="7"/>
  <c r="B5" i="10"/>
  <c r="E14" i="10"/>
  <c r="D20" i="5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E21" i="7"/>
  <c r="E18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" i="8"/>
  <c r="E17" i="8"/>
  <c r="T361" i="8"/>
  <c r="T360" i="8"/>
  <c r="T359" i="8"/>
  <c r="T358" i="8"/>
  <c r="T357" i="8"/>
  <c r="T356" i="8"/>
  <c r="T355" i="8"/>
  <c r="T354" i="8"/>
  <c r="T353" i="8"/>
  <c r="T352" i="8"/>
  <c r="T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230" i="8"/>
  <c r="T229" i="8"/>
  <c r="T228" i="8"/>
  <c r="T227" i="8"/>
  <c r="T226" i="8"/>
  <c r="T225" i="8"/>
  <c r="T224" i="8"/>
  <c r="T223" i="8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N243" i="8"/>
  <c r="N255" i="8" s="1"/>
  <c r="N267" i="8" s="1"/>
  <c r="N279" i="8" s="1"/>
  <c r="N291" i="8" s="1"/>
  <c r="N303" i="8" s="1"/>
  <c r="N315" i="8" s="1"/>
  <c r="N327" i="8" s="1"/>
  <c r="N339" i="8" s="1"/>
  <c r="N351" i="8" s="1"/>
  <c r="O351" i="8" s="1"/>
  <c r="N244" i="8"/>
  <c r="N256" i="8" s="1"/>
  <c r="N268" i="8" s="1"/>
  <c r="N280" i="8" s="1"/>
  <c r="N292" i="8" s="1"/>
  <c r="N304" i="8" s="1"/>
  <c r="N316" i="8" s="1"/>
  <c r="N328" i="8" s="1"/>
  <c r="N340" i="8" s="1"/>
  <c r="N352" i="8" s="1"/>
  <c r="O352" i="8" s="1"/>
  <c r="N245" i="8"/>
  <c r="N257" i="8" s="1"/>
  <c r="N269" i="8" s="1"/>
  <c r="N281" i="8" s="1"/>
  <c r="N293" i="8" s="1"/>
  <c r="N305" i="8" s="1"/>
  <c r="N317" i="8" s="1"/>
  <c r="N329" i="8" s="1"/>
  <c r="N341" i="8" s="1"/>
  <c r="N353" i="8" s="1"/>
  <c r="O353" i="8" s="1"/>
  <c r="N246" i="8"/>
  <c r="O246" i="8" s="1"/>
  <c r="N247" i="8"/>
  <c r="N259" i="8" s="1"/>
  <c r="N271" i="8" s="1"/>
  <c r="N283" i="8" s="1"/>
  <c r="N295" i="8" s="1"/>
  <c r="N307" i="8" s="1"/>
  <c r="N319" i="8" s="1"/>
  <c r="N331" i="8" s="1"/>
  <c r="N343" i="8" s="1"/>
  <c r="N355" i="8" s="1"/>
  <c r="O355" i="8" s="1"/>
  <c r="N248" i="8"/>
  <c r="N260" i="8" s="1"/>
  <c r="N272" i="8" s="1"/>
  <c r="N284" i="8" s="1"/>
  <c r="N296" i="8" s="1"/>
  <c r="N308" i="8" s="1"/>
  <c r="N320" i="8" s="1"/>
  <c r="N332" i="8" s="1"/>
  <c r="N344" i="8" s="1"/>
  <c r="N356" i="8" s="1"/>
  <c r="O356" i="8" s="1"/>
  <c r="N249" i="8"/>
  <c r="N261" i="8" s="1"/>
  <c r="N273" i="8" s="1"/>
  <c r="N285" i="8" s="1"/>
  <c r="N297" i="8" s="1"/>
  <c r="N309" i="8" s="1"/>
  <c r="N321" i="8" s="1"/>
  <c r="N333" i="8" s="1"/>
  <c r="N345" i="8" s="1"/>
  <c r="N357" i="8" s="1"/>
  <c r="O357" i="8" s="1"/>
  <c r="N250" i="8"/>
  <c r="N262" i="8" s="1"/>
  <c r="N274" i="8" s="1"/>
  <c r="N286" i="8" s="1"/>
  <c r="N298" i="8" s="1"/>
  <c r="N310" i="8" s="1"/>
  <c r="N322" i="8" s="1"/>
  <c r="N334" i="8" s="1"/>
  <c r="N346" i="8" s="1"/>
  <c r="N358" i="8" s="1"/>
  <c r="O358" i="8" s="1"/>
  <c r="N251" i="8"/>
  <c r="N263" i="8" s="1"/>
  <c r="N275" i="8" s="1"/>
  <c r="N287" i="8" s="1"/>
  <c r="N299" i="8" s="1"/>
  <c r="N311" i="8" s="1"/>
  <c r="N323" i="8" s="1"/>
  <c r="N335" i="8" s="1"/>
  <c r="N347" i="8" s="1"/>
  <c r="N359" i="8" s="1"/>
  <c r="O359" i="8" s="1"/>
  <c r="N252" i="8"/>
  <c r="N264" i="8" s="1"/>
  <c r="N276" i="8" s="1"/>
  <c r="N288" i="8" s="1"/>
  <c r="N300" i="8" s="1"/>
  <c r="N312" i="8" s="1"/>
  <c r="N324" i="8" s="1"/>
  <c r="N336" i="8" s="1"/>
  <c r="N348" i="8" s="1"/>
  <c r="N360" i="8" s="1"/>
  <c r="O360" i="8" s="1"/>
  <c r="N253" i="8"/>
  <c r="N265" i="8" s="1"/>
  <c r="N277" i="8" s="1"/>
  <c r="N289" i="8" s="1"/>
  <c r="N301" i="8" s="1"/>
  <c r="N313" i="8" s="1"/>
  <c r="N325" i="8" s="1"/>
  <c r="N337" i="8" s="1"/>
  <c r="N349" i="8" s="1"/>
  <c r="N361" i="8" s="1"/>
  <c r="O361" i="8" s="1"/>
  <c r="N258" i="8"/>
  <c r="N270" i="8" s="1"/>
  <c r="N282" i="8" s="1"/>
  <c r="N294" i="8" s="1"/>
  <c r="N306" i="8" s="1"/>
  <c r="N318" i="8" s="1"/>
  <c r="N330" i="8" s="1"/>
  <c r="N342" i="8" s="1"/>
  <c r="N354" i="8" s="1"/>
  <c r="O354" i="8" s="1"/>
  <c r="N242" i="8"/>
  <c r="N254" i="8" s="1"/>
  <c r="N266" i="8" s="1"/>
  <c r="N278" i="8" s="1"/>
  <c r="N290" i="8" s="1"/>
  <c r="N302" i="8" s="1"/>
  <c r="N314" i="8" s="1"/>
  <c r="N326" i="8" s="1"/>
  <c r="N338" i="8" s="1"/>
  <c r="N350" i="8" s="1"/>
  <c r="O350" i="8" s="1"/>
  <c r="S171" i="8"/>
  <c r="S172" i="8"/>
  <c r="S173" i="8"/>
  <c r="S185" i="8" s="1"/>
  <c r="S197" i="8" s="1"/>
  <c r="S209" i="8" s="1"/>
  <c r="S221" i="8" s="1"/>
  <c r="S233" i="8" s="1"/>
  <c r="S174" i="8"/>
  <c r="S175" i="8"/>
  <c r="S187" i="8" s="1"/>
  <c r="S176" i="8"/>
  <c r="S188" i="8" s="1"/>
  <c r="S177" i="8"/>
  <c r="S178" i="8"/>
  <c r="S179" i="8"/>
  <c r="S180" i="8"/>
  <c r="S181" i="8"/>
  <c r="S193" i="8" s="1"/>
  <c r="S205" i="8" s="1"/>
  <c r="S217" i="8" s="1"/>
  <c r="S229" i="8" s="1"/>
  <c r="S241" i="8" s="1"/>
  <c r="S253" i="8" s="1"/>
  <c r="S265" i="8" s="1"/>
  <c r="Q171" i="8"/>
  <c r="Q172" i="8"/>
  <c r="Q173" i="8"/>
  <c r="Q174" i="8"/>
  <c r="Q186" i="8" s="1"/>
  <c r="Q175" i="8"/>
  <c r="Q187" i="8" s="1"/>
  <c r="Q176" i="8"/>
  <c r="Q177" i="8"/>
  <c r="Q189" i="8" s="1"/>
  <c r="Q178" i="8"/>
  <c r="Q190" i="8" s="1"/>
  <c r="Q202" i="8" s="1"/>
  <c r="Q214" i="8" s="1"/>
  <c r="Q226" i="8" s="1"/>
  <c r="Q238" i="8" s="1"/>
  <c r="Q179" i="8"/>
  <c r="Q180" i="8"/>
  <c r="Q181" i="8"/>
  <c r="S170" i="8"/>
  <c r="S182" i="8" s="1"/>
  <c r="Q170" i="8"/>
  <c r="B30" i="4"/>
  <c r="O13" i="3"/>
  <c r="O12" i="3"/>
  <c r="O10" i="3"/>
  <c r="O9" i="3"/>
  <c r="O8" i="3"/>
  <c r="E19" i="7"/>
  <c r="O7" i="3"/>
  <c r="O6" i="3"/>
  <c r="O4" i="3"/>
  <c r="O3" i="3"/>
  <c r="O2" i="3"/>
  <c r="G7" i="11" l="1"/>
  <c r="I7" i="11"/>
  <c r="B2" i="13"/>
  <c r="B8" i="8"/>
  <c r="G6" i="11"/>
  <c r="V8" i="8"/>
  <c r="B2" i="8"/>
  <c r="B9" i="8"/>
  <c r="I25" i="11"/>
  <c r="V72" i="13" s="1"/>
  <c r="B2" i="12"/>
  <c r="J27" i="11"/>
  <c r="B9" i="13"/>
  <c r="B11" i="13" s="1"/>
  <c r="B29" i="4"/>
  <c r="E29" i="4" s="1"/>
  <c r="K28" i="11"/>
  <c r="G27" i="11"/>
  <c r="F27" i="11"/>
  <c r="I27" i="11" s="1"/>
  <c r="J12" i="11"/>
  <c r="B7" i="7"/>
  <c r="B8" i="4"/>
  <c r="B32" i="4" s="1"/>
  <c r="E32" i="4" s="1"/>
  <c r="J8" i="11"/>
  <c r="F12" i="11"/>
  <c r="B2" i="4"/>
  <c r="S2" i="4" s="1" a="1"/>
  <c r="S2" i="4" s="1"/>
  <c r="B13" i="5"/>
  <c r="B22" i="5" s="1"/>
  <c r="E22" i="5" s="1"/>
  <c r="B2" i="7"/>
  <c r="H8" i="11"/>
  <c r="B21" i="5"/>
  <c r="E21" i="5" s="1"/>
  <c r="B6" i="5"/>
  <c r="B25" i="5" s="1"/>
  <c r="E25" i="5" s="1"/>
  <c r="I8" i="11"/>
  <c r="B19" i="3"/>
  <c r="H10" i="11" s="1"/>
  <c r="A40" i="3"/>
  <c r="A29" i="14" s="1" a="1"/>
  <c r="A29" i="14" s="1"/>
  <c r="D30" i="3"/>
  <c r="H5" i="11"/>
  <c r="D29" i="3"/>
  <c r="D23" i="3"/>
  <c r="J6" i="11"/>
  <c r="J7" i="11"/>
  <c r="B2" i="5"/>
  <c r="L2" i="5" s="1" a="1"/>
  <c r="I9" i="11"/>
  <c r="B29" i="3"/>
  <c r="B30" i="3"/>
  <c r="B8" i="3"/>
  <c r="B26" i="3" s="1"/>
  <c r="E26" i="3" s="1"/>
  <c r="D15" i="3"/>
  <c r="B27" i="3"/>
  <c r="E27" i="3" s="1"/>
  <c r="B19" i="5"/>
  <c r="B9" i="3"/>
  <c r="E16" i="3"/>
  <c r="B7" i="5"/>
  <c r="B24" i="5" s="1"/>
  <c r="E24" i="5" s="1"/>
  <c r="B7" i="4"/>
  <c r="E16" i="4"/>
  <c r="S207" i="13"/>
  <c r="Q197" i="13"/>
  <c r="Q204" i="13"/>
  <c r="S194" i="13"/>
  <c r="S197" i="13"/>
  <c r="S192" i="13"/>
  <c r="Q212" i="13"/>
  <c r="Q206" i="13"/>
  <c r="S200" i="13"/>
  <c r="Q214" i="13"/>
  <c r="N272" i="13"/>
  <c r="O260" i="13"/>
  <c r="Q201" i="13"/>
  <c r="Q196" i="13"/>
  <c r="Q191" i="13"/>
  <c r="S215" i="13"/>
  <c r="S184" i="13"/>
  <c r="S199" i="13"/>
  <c r="N291" i="13"/>
  <c r="O279" i="13"/>
  <c r="Q198" i="13"/>
  <c r="Q205" i="13"/>
  <c r="Q199" i="13"/>
  <c r="Q183" i="13"/>
  <c r="S198" i="13"/>
  <c r="S202" i="13"/>
  <c r="S205" i="13"/>
  <c r="S213" i="13"/>
  <c r="N278" i="13"/>
  <c r="O289" i="13"/>
  <c r="O305" i="13"/>
  <c r="O321" i="13"/>
  <c r="O337" i="13"/>
  <c r="O282" i="13"/>
  <c r="N294" i="13"/>
  <c r="O254" i="13"/>
  <c r="O258" i="13"/>
  <c r="O262" i="13"/>
  <c r="O270" i="13"/>
  <c r="O274" i="13"/>
  <c r="O283" i="13"/>
  <c r="O299" i="13"/>
  <c r="O331" i="13"/>
  <c r="O347" i="13"/>
  <c r="O293" i="13"/>
  <c r="O309" i="13"/>
  <c r="O325" i="13"/>
  <c r="O341" i="13"/>
  <c r="O280" i="13"/>
  <c r="N292" i="13"/>
  <c r="O288" i="13"/>
  <c r="N300" i="13"/>
  <c r="O257" i="13"/>
  <c r="O261" i="13"/>
  <c r="O265" i="13"/>
  <c r="O269" i="13"/>
  <c r="O273" i="13"/>
  <c r="O277" i="13"/>
  <c r="O287" i="13"/>
  <c r="O319" i="13"/>
  <c r="O335" i="13"/>
  <c r="O297" i="13"/>
  <c r="O329" i="13"/>
  <c r="O345" i="13"/>
  <c r="O286" i="13"/>
  <c r="N298" i="13"/>
  <c r="O256" i="13"/>
  <c r="O264" i="13"/>
  <c r="O268" i="13"/>
  <c r="O276" i="13"/>
  <c r="O307" i="13"/>
  <c r="O323" i="13"/>
  <c r="O285" i="13"/>
  <c r="O317" i="13"/>
  <c r="O333" i="13"/>
  <c r="O349" i="13"/>
  <c r="B7" i="10"/>
  <c r="B11" i="3"/>
  <c r="O344" i="8"/>
  <c r="O278" i="8"/>
  <c r="O318" i="8"/>
  <c r="O248" i="8"/>
  <c r="O343" i="8"/>
  <c r="O317" i="8"/>
  <c r="O277" i="8"/>
  <c r="O247" i="8"/>
  <c r="O342" i="8"/>
  <c r="O302" i="8"/>
  <c r="O272" i="8"/>
  <c r="O341" i="8"/>
  <c r="O301" i="8"/>
  <c r="O271" i="8"/>
  <c r="O245" i="8"/>
  <c r="O326" i="8"/>
  <c r="O296" i="8"/>
  <c r="O270" i="8"/>
  <c r="O325" i="8"/>
  <c r="O295" i="8"/>
  <c r="O269" i="8"/>
  <c r="O320" i="8"/>
  <c r="O294" i="8"/>
  <c r="O254" i="8"/>
  <c r="O349" i="8"/>
  <c r="O319" i="8"/>
  <c r="O293" i="8"/>
  <c r="O253" i="8"/>
  <c r="E18" i="4"/>
  <c r="O336" i="8"/>
  <c r="O312" i="8"/>
  <c r="O264" i="8"/>
  <c r="O303" i="8"/>
  <c r="O279" i="8"/>
  <c r="O255" i="8"/>
  <c r="O280" i="8"/>
  <c r="O256" i="8"/>
  <c r="O327" i="8"/>
  <c r="O348" i="8"/>
  <c r="O340" i="8"/>
  <c r="O332" i="8"/>
  <c r="O324" i="8"/>
  <c r="O316" i="8"/>
  <c r="O308" i="8"/>
  <c r="O300" i="8"/>
  <c r="O292" i="8"/>
  <c r="O284" i="8"/>
  <c r="O276" i="8"/>
  <c r="O268" i="8"/>
  <c r="O260" i="8"/>
  <c r="O252" i="8"/>
  <c r="O244" i="8"/>
  <c r="O288" i="8"/>
  <c r="O335" i="8"/>
  <c r="O311" i="8"/>
  <c r="O263" i="8"/>
  <c r="O334" i="8"/>
  <c r="O286" i="8"/>
  <c r="O309" i="8"/>
  <c r="O347" i="8"/>
  <c r="O339" i="8"/>
  <c r="O331" i="8"/>
  <c r="O323" i="8"/>
  <c r="O315" i="8"/>
  <c r="O307" i="8"/>
  <c r="O299" i="8"/>
  <c r="O291" i="8"/>
  <c r="O283" i="8"/>
  <c r="O275" i="8"/>
  <c r="O267" i="8"/>
  <c r="O259" i="8"/>
  <c r="O251" i="8"/>
  <c r="O243" i="8"/>
  <c r="O328" i="8"/>
  <c r="O304" i="8"/>
  <c r="O287" i="8"/>
  <c r="O310" i="8"/>
  <c r="O262" i="8"/>
  <c r="O333" i="8"/>
  <c r="O261" i="8"/>
  <c r="O346" i="8"/>
  <c r="O338" i="8"/>
  <c r="O330" i="8"/>
  <c r="O322" i="8"/>
  <c r="O314" i="8"/>
  <c r="O306" i="8"/>
  <c r="O298" i="8"/>
  <c r="O290" i="8"/>
  <c r="O282" i="8"/>
  <c r="O274" i="8"/>
  <c r="O266" i="8"/>
  <c r="O258" i="8"/>
  <c r="O250" i="8"/>
  <c r="O242" i="8"/>
  <c r="O285" i="8"/>
  <c r="O345" i="8"/>
  <c r="O337" i="8"/>
  <c r="O329" i="8"/>
  <c r="O321" i="8"/>
  <c r="O313" i="8"/>
  <c r="O305" i="8"/>
  <c r="O297" i="8"/>
  <c r="O289" i="8"/>
  <c r="O281" i="8"/>
  <c r="O273" i="8"/>
  <c r="O265" i="8"/>
  <c r="O257" i="8"/>
  <c r="O249" i="8"/>
  <c r="Q201" i="8"/>
  <c r="S184" i="8"/>
  <c r="S196" i="8" s="1"/>
  <c r="Q192" i="8"/>
  <c r="Q204" i="8" s="1"/>
  <c r="Q191" i="8"/>
  <c r="S200" i="8"/>
  <c r="Q182" i="8"/>
  <c r="S192" i="8"/>
  <c r="S189" i="8"/>
  <c r="S201" i="8" s="1"/>
  <c r="S213" i="8" s="1"/>
  <c r="S245" i="8"/>
  <c r="S257" i="8" s="1"/>
  <c r="Q198" i="8"/>
  <c r="S277" i="8"/>
  <c r="Q250" i="8"/>
  <c r="S194" i="8"/>
  <c r="S183" i="8"/>
  <c r="S208" i="8"/>
  <c r="S190" i="8"/>
  <c r="Q199" i="8"/>
  <c r="Q185" i="8"/>
  <c r="S199" i="8"/>
  <c r="Q184" i="8"/>
  <c r="Q188" i="8"/>
  <c r="S186" i="8"/>
  <c r="S191" i="8"/>
  <c r="Q193" i="8"/>
  <c r="Q183" i="8"/>
  <c r="D16" i="3"/>
  <c r="B27" i="4"/>
  <c r="U160" i="8" l="1"/>
  <c r="E6" i="14" a="1"/>
  <c r="E6" i="14" s="1"/>
  <c r="V177" i="8"/>
  <c r="U61" i="8"/>
  <c r="V75" i="8"/>
  <c r="V124" i="8"/>
  <c r="V72" i="8"/>
  <c r="U174" i="8"/>
  <c r="V103" i="8"/>
  <c r="U33" i="8"/>
  <c r="U162" i="8"/>
  <c r="U114" i="8"/>
  <c r="U68" i="8"/>
  <c r="V2" i="8"/>
  <c r="V85" i="13"/>
  <c r="U187" i="13"/>
  <c r="U59" i="13"/>
  <c r="U85" i="13"/>
  <c r="U83" i="13"/>
  <c r="U80" i="13"/>
  <c r="V187" i="13"/>
  <c r="U72" i="13"/>
  <c r="V149" i="13"/>
  <c r="U44" i="13"/>
  <c r="U158" i="8"/>
  <c r="U40" i="8"/>
  <c r="U71" i="8"/>
  <c r="V193" i="8"/>
  <c r="U69" i="8"/>
  <c r="V141" i="8"/>
  <c r="U139" i="8"/>
  <c r="U182" i="8"/>
  <c r="U62" i="8"/>
  <c r="V28" i="8"/>
  <c r="V187" i="8"/>
  <c r="V77" i="8"/>
  <c r="U118" i="8"/>
  <c r="U32" i="8"/>
  <c r="U135" i="8"/>
  <c r="U145" i="8"/>
  <c r="U66" i="8"/>
  <c r="V201" i="13"/>
  <c r="V129" i="8"/>
  <c r="U161" i="8"/>
  <c r="U30" i="8"/>
  <c r="V104" i="8"/>
  <c r="V135" i="8"/>
  <c r="U39" i="8"/>
  <c r="U178" i="8"/>
  <c r="U49" i="8"/>
  <c r="U164" i="8"/>
  <c r="U57" i="8"/>
  <c r="V107" i="8"/>
  <c r="V265" i="8"/>
  <c r="U173" i="8"/>
  <c r="V181" i="13"/>
  <c r="V185" i="13"/>
  <c r="V130" i="8"/>
  <c r="V121" i="8"/>
  <c r="U214" i="8"/>
  <c r="U136" i="8"/>
  <c r="U116" i="8"/>
  <c r="U153" i="8"/>
  <c r="V192" i="8"/>
  <c r="U202" i="8"/>
  <c r="V136" i="8"/>
  <c r="U28" i="8"/>
  <c r="V167" i="8"/>
  <c r="U4" i="8"/>
  <c r="V108" i="8"/>
  <c r="U43" i="8"/>
  <c r="U128" i="8"/>
  <c r="V40" i="8"/>
  <c r="V71" i="8"/>
  <c r="U132" i="8"/>
  <c r="U154" i="8"/>
  <c r="U76" i="8"/>
  <c r="V115" i="8"/>
  <c r="U53" i="8"/>
  <c r="V179" i="8"/>
  <c r="U226" i="8"/>
  <c r="V76" i="8"/>
  <c r="U107" i="8"/>
  <c r="V203" i="13"/>
  <c r="B11" i="8"/>
  <c r="A25" i="8" s="1"/>
  <c r="U138" i="8"/>
  <c r="U168" i="8"/>
  <c r="U96" i="8"/>
  <c r="U146" i="8"/>
  <c r="U127" i="8"/>
  <c r="V39" i="8"/>
  <c r="U166" i="8"/>
  <c r="U100" i="8"/>
  <c r="U26" i="8"/>
  <c r="V164" i="8"/>
  <c r="V10" i="8"/>
  <c r="V83" i="8"/>
  <c r="U180" i="13"/>
  <c r="V114" i="8"/>
  <c r="U14" i="8"/>
  <c r="U64" i="8"/>
  <c r="U167" i="8"/>
  <c r="U38" i="8"/>
  <c r="U165" i="8"/>
  <c r="V147" i="8"/>
  <c r="V51" i="8"/>
  <c r="U150" i="8"/>
  <c r="U159" i="8"/>
  <c r="U46" i="8"/>
  <c r="V26" i="8"/>
  <c r="U104" i="8"/>
  <c r="U63" i="8"/>
  <c r="U37" i="8"/>
  <c r="U172" i="8"/>
  <c r="U188" i="13"/>
  <c r="U193" i="13"/>
  <c r="U129" i="8"/>
  <c r="V168" i="8"/>
  <c r="U72" i="8"/>
  <c r="U124" i="8"/>
  <c r="U137" i="8"/>
  <c r="U103" i="8"/>
  <c r="U31" i="8"/>
  <c r="U70" i="8"/>
  <c r="V100" i="8"/>
  <c r="V178" i="8"/>
  <c r="U190" i="8"/>
  <c r="U156" i="8"/>
  <c r="V6" i="8"/>
  <c r="U75" i="8"/>
  <c r="U201" i="8"/>
  <c r="U202" i="13"/>
  <c r="V177" i="13"/>
  <c r="U2" i="8"/>
  <c r="V182" i="8"/>
  <c r="V56" i="13"/>
  <c r="V162" i="8"/>
  <c r="U95" i="8"/>
  <c r="V34" i="8"/>
  <c r="U40" i="13"/>
  <c r="V182" i="13"/>
  <c r="V158" i="13"/>
  <c r="U174" i="13"/>
  <c r="V81" i="13"/>
  <c r="U146" i="13"/>
  <c r="U49" i="13"/>
  <c r="V186" i="13"/>
  <c r="V11" i="13"/>
  <c r="U36" i="13"/>
  <c r="U141" i="13"/>
  <c r="U152" i="13"/>
  <c r="V141" i="13"/>
  <c r="U117" i="13"/>
  <c r="U9" i="13"/>
  <c r="V144" i="13"/>
  <c r="U81" i="13"/>
  <c r="U109" i="8"/>
  <c r="U171" i="13"/>
  <c r="U75" i="13"/>
  <c r="V117" i="13"/>
  <c r="U4" i="13"/>
  <c r="V120" i="13"/>
  <c r="U79" i="13"/>
  <c r="V112" i="13"/>
  <c r="V46" i="13"/>
  <c r="U17" i="13"/>
  <c r="V101" i="8"/>
  <c r="V21" i="8"/>
  <c r="U57" i="13"/>
  <c r="V54" i="13"/>
  <c r="U170" i="13"/>
  <c r="U142" i="13"/>
  <c r="U106" i="13"/>
  <c r="V28" i="13"/>
  <c r="V45" i="13"/>
  <c r="V147" i="13"/>
  <c r="U54" i="13"/>
  <c r="U161" i="13"/>
  <c r="V43" i="13"/>
  <c r="V173" i="13"/>
  <c r="U179" i="13"/>
  <c r="U64" i="13"/>
  <c r="U29" i="13"/>
  <c r="U67" i="13"/>
  <c r="V109" i="13"/>
  <c r="U65" i="13"/>
  <c r="V168" i="13"/>
  <c r="U138" i="13"/>
  <c r="V104" i="13"/>
  <c r="V19" i="13"/>
  <c r="U39" i="13"/>
  <c r="V139" i="13"/>
  <c r="U51" i="13"/>
  <c r="U155" i="13"/>
  <c r="V161" i="13"/>
  <c r="U109" i="13"/>
  <c r="U192" i="13"/>
  <c r="U73" i="13"/>
  <c r="V195" i="13"/>
  <c r="U172" i="13"/>
  <c r="V193" i="13"/>
  <c r="V142" i="13"/>
  <c r="U186" i="13"/>
  <c r="V172" i="13"/>
  <c r="U60" i="13"/>
  <c r="U25" i="13"/>
  <c r="V188" i="13"/>
  <c r="U200" i="13"/>
  <c r="U133" i="13"/>
  <c r="U101" i="13"/>
  <c r="U185" i="13"/>
  <c r="U16" i="13"/>
  <c r="U5" i="13"/>
  <c r="U162" i="13"/>
  <c r="U134" i="13"/>
  <c r="U102" i="13"/>
  <c r="V13" i="13"/>
  <c r="V36" i="13"/>
  <c r="V135" i="13"/>
  <c r="V48" i="13"/>
  <c r="U145" i="13"/>
  <c r="U159" i="13"/>
  <c r="V7" i="8"/>
  <c r="V65" i="8"/>
  <c r="V13" i="8"/>
  <c r="V160" i="13"/>
  <c r="V128" i="13"/>
  <c r="U98" i="13"/>
  <c r="U8" i="13"/>
  <c r="U31" i="13"/>
  <c r="V131" i="13"/>
  <c r="U45" i="13"/>
  <c r="U119" i="13"/>
  <c r="V119" i="13"/>
  <c r="V57" i="8"/>
  <c r="V46" i="8"/>
  <c r="U136" i="13"/>
  <c r="U184" i="13"/>
  <c r="U56" i="13"/>
  <c r="U20" i="13"/>
  <c r="V133" i="13"/>
  <c r="V101" i="13"/>
  <c r="U15" i="13"/>
  <c r="V190" i="13"/>
  <c r="V92" i="13"/>
  <c r="U165" i="13"/>
  <c r="U157" i="13"/>
  <c r="U52" i="13"/>
  <c r="U189" i="13"/>
  <c r="U194" i="13"/>
  <c r="V180" i="13"/>
  <c r="U125" i="13"/>
  <c r="U93" i="13"/>
  <c r="U166" i="13"/>
  <c r="U14" i="13"/>
  <c r="U154" i="13"/>
  <c r="U126" i="13"/>
  <c r="V68" i="13"/>
  <c r="V174" i="13"/>
  <c r="V70" i="13"/>
  <c r="U89" i="13"/>
  <c r="U84" i="13"/>
  <c r="U107" i="13"/>
  <c r="V78" i="13"/>
  <c r="V189" i="13"/>
  <c r="V84" i="13"/>
  <c r="V165" i="13"/>
  <c r="V157" i="13"/>
  <c r="U149" i="13"/>
  <c r="U48" i="13"/>
  <c r="V125" i="13"/>
  <c r="V93" i="13"/>
  <c r="V166" i="13"/>
  <c r="V10" i="13"/>
  <c r="V178" i="13"/>
  <c r="U150" i="13"/>
  <c r="U122" i="13"/>
  <c r="U62" i="13"/>
  <c r="V171" i="13"/>
  <c r="V52" i="13"/>
  <c r="U87" i="13"/>
  <c r="U58" i="13"/>
  <c r="U105" i="13"/>
  <c r="V61" i="13"/>
  <c r="V154" i="8"/>
  <c r="H25" i="11"/>
  <c r="V94" i="8"/>
  <c r="V29" i="8"/>
  <c r="V117" i="8"/>
  <c r="V78" i="8"/>
  <c r="V142" i="8"/>
  <c r="V73" i="8"/>
  <c r="V137" i="8"/>
  <c r="V58" i="8"/>
  <c r="U18" i="8"/>
  <c r="V146" i="8"/>
  <c r="U187" i="8"/>
  <c r="V241" i="8"/>
  <c r="U51" i="8"/>
  <c r="U83" i="8"/>
  <c r="U115" i="8"/>
  <c r="U147" i="8"/>
  <c r="V14" i="8"/>
  <c r="U89" i="8"/>
  <c r="V173" i="8"/>
  <c r="U3" i="8"/>
  <c r="U78" i="8"/>
  <c r="U108" i="8"/>
  <c r="U58" i="8"/>
  <c r="V209" i="8"/>
  <c r="V140" i="8"/>
  <c r="U8" i="8"/>
  <c r="U93" i="8"/>
  <c r="V52" i="8"/>
  <c r="U176" i="8"/>
  <c r="V47" i="8"/>
  <c r="V79" i="8"/>
  <c r="V111" i="8"/>
  <c r="V143" i="8"/>
  <c r="U41" i="8"/>
  <c r="U169" i="8"/>
  <c r="V60" i="8"/>
  <c r="V48" i="8"/>
  <c r="V80" i="8"/>
  <c r="V112" i="8"/>
  <c r="V144" i="8"/>
  <c r="U5" i="8"/>
  <c r="U85" i="8"/>
  <c r="U42" i="8"/>
  <c r="V185" i="8"/>
  <c r="U47" i="8"/>
  <c r="U143" i="8"/>
  <c r="V181" i="8"/>
  <c r="U60" i="8"/>
  <c r="U48" i="8"/>
  <c r="U112" i="8"/>
  <c r="U9" i="8"/>
  <c r="U65" i="8"/>
  <c r="U25" i="8"/>
  <c r="U110" i="8"/>
  <c r="U90" i="8"/>
  <c r="U16" i="8"/>
  <c r="V84" i="8"/>
  <c r="V87" i="8"/>
  <c r="U73" i="8"/>
  <c r="V197" i="8"/>
  <c r="V88" i="8"/>
  <c r="U13" i="8"/>
  <c r="U74" i="8"/>
  <c r="U149" i="8"/>
  <c r="U86" i="8"/>
  <c r="V176" i="8"/>
  <c r="V118" i="8"/>
  <c r="U45" i="8"/>
  <c r="V133" i="8"/>
  <c r="V102" i="8"/>
  <c r="V9" i="8"/>
  <c r="V81" i="8"/>
  <c r="V145" i="8"/>
  <c r="V74" i="8"/>
  <c r="U6" i="8"/>
  <c r="V42" i="8"/>
  <c r="V180" i="8"/>
  <c r="U181" i="8"/>
  <c r="U175" i="8"/>
  <c r="V27" i="8"/>
  <c r="V59" i="8"/>
  <c r="V91" i="8"/>
  <c r="V123" i="8"/>
  <c r="V155" i="8"/>
  <c r="V18" i="8"/>
  <c r="U98" i="8"/>
  <c r="V205" i="8"/>
  <c r="U7" i="8"/>
  <c r="U101" i="8"/>
  <c r="V148" i="8"/>
  <c r="U81" i="8"/>
  <c r="U140" i="8"/>
  <c r="U12" i="8"/>
  <c r="U102" i="8"/>
  <c r="U52" i="8"/>
  <c r="U79" i="8"/>
  <c r="U111" i="8"/>
  <c r="U50" i="8"/>
  <c r="U80" i="8"/>
  <c r="U144" i="8"/>
  <c r="U94" i="8"/>
  <c r="V217" i="8"/>
  <c r="U123" i="8"/>
  <c r="V109" i="8"/>
  <c r="U11" i="8"/>
  <c r="U148" i="8"/>
  <c r="V44" i="8"/>
  <c r="U125" i="8"/>
  <c r="V55" i="8"/>
  <c r="V151" i="8"/>
  <c r="V92" i="8"/>
  <c r="V56" i="8"/>
  <c r="V120" i="8"/>
  <c r="U117" i="8"/>
  <c r="U186" i="8"/>
  <c r="V126" i="8"/>
  <c r="V61" i="8"/>
  <c r="U141" i="8"/>
  <c r="V150" i="8"/>
  <c r="V17" i="8"/>
  <c r="V89" i="8"/>
  <c r="V153" i="8"/>
  <c r="V90" i="8"/>
  <c r="V38" i="8"/>
  <c r="V50" i="8"/>
  <c r="V3" i="8"/>
  <c r="V174" i="8"/>
  <c r="U27" i="8"/>
  <c r="U59" i="8"/>
  <c r="U91" i="8"/>
  <c r="U155" i="8"/>
  <c r="V221" i="8"/>
  <c r="V171" i="8"/>
  <c r="V170" i="8"/>
  <c r="V23" i="8"/>
  <c r="V119" i="8"/>
  <c r="V24" i="8"/>
  <c r="V152" i="8"/>
  <c r="U22" i="8"/>
  <c r="V12" i="8"/>
  <c r="U77" i="8"/>
  <c r="V149" i="8"/>
  <c r="V188" i="8"/>
  <c r="V25" i="8"/>
  <c r="V97" i="8"/>
  <c r="V161" i="8"/>
  <c r="V106" i="8"/>
  <c r="V62" i="8"/>
  <c r="V66" i="8"/>
  <c r="V11" i="8"/>
  <c r="U238" i="8"/>
  <c r="U179" i="8"/>
  <c r="V233" i="8"/>
  <c r="V35" i="8"/>
  <c r="V67" i="8"/>
  <c r="V99" i="8"/>
  <c r="V131" i="8"/>
  <c r="V163" i="8"/>
  <c r="U34" i="8"/>
  <c r="U121" i="8"/>
  <c r="V253" i="8"/>
  <c r="U15" i="8"/>
  <c r="U133" i="8"/>
  <c r="V36" i="8"/>
  <c r="U113" i="8"/>
  <c r="U44" i="8"/>
  <c r="U20" i="8"/>
  <c r="U134" i="8"/>
  <c r="U84" i="8"/>
  <c r="U23" i="8"/>
  <c r="U55" i="8"/>
  <c r="U87" i="8"/>
  <c r="U119" i="8"/>
  <c r="U151" i="8"/>
  <c r="U82" i="8"/>
  <c r="V229" i="8"/>
  <c r="U92" i="8"/>
  <c r="U24" i="8"/>
  <c r="U56" i="8"/>
  <c r="U88" i="8"/>
  <c r="U120" i="8"/>
  <c r="U152" i="8"/>
  <c r="U17" i="8"/>
  <c r="U126" i="8"/>
  <c r="U97" i="8"/>
  <c r="U54" i="8"/>
  <c r="U99" i="8"/>
  <c r="U163" i="8"/>
  <c r="U130" i="8"/>
  <c r="U19" i="8"/>
  <c r="U36" i="8"/>
  <c r="V68" i="8"/>
  <c r="U177" i="8"/>
  <c r="U157" i="8"/>
  <c r="V132" i="8"/>
  <c r="V63" i="8"/>
  <c r="V95" i="8"/>
  <c r="V159" i="8"/>
  <c r="V116" i="8"/>
  <c r="V64" i="8"/>
  <c r="V128" i="8"/>
  <c r="U21" i="8"/>
  <c r="V20" i="8"/>
  <c r="V85" i="8"/>
  <c r="V157" i="8"/>
  <c r="V15" i="8"/>
  <c r="V33" i="8"/>
  <c r="V105" i="8"/>
  <c r="V169" i="8"/>
  <c r="V122" i="8"/>
  <c r="V86" i="8"/>
  <c r="V82" i="8"/>
  <c r="V19" i="8"/>
  <c r="U189" i="8"/>
  <c r="U170" i="8"/>
  <c r="U171" i="8"/>
  <c r="V175" i="8"/>
  <c r="U35" i="8"/>
  <c r="U67" i="8"/>
  <c r="U131" i="8"/>
  <c r="V45" i="8"/>
  <c r="V156" i="8"/>
  <c r="U142" i="8"/>
  <c r="U122" i="8"/>
  <c r="U29" i="8"/>
  <c r="V31" i="8"/>
  <c r="V127" i="8"/>
  <c r="U105" i="8"/>
  <c r="V32" i="8"/>
  <c r="V96" i="8"/>
  <c r="V160" i="8"/>
  <c r="U106" i="8"/>
  <c r="V172" i="8"/>
  <c r="V43" i="8"/>
  <c r="V139" i="8"/>
  <c r="V5" i="8"/>
  <c r="V93" i="8"/>
  <c r="V165" i="8"/>
  <c r="U180" i="8"/>
  <c r="V41" i="8"/>
  <c r="V113" i="8"/>
  <c r="U10" i="8"/>
  <c r="V138" i="8"/>
  <c r="V134" i="8"/>
  <c r="V98" i="8"/>
  <c r="V30" i="8"/>
  <c r="V143" i="13"/>
  <c r="U103" i="13"/>
  <c r="V37" i="13"/>
  <c r="V97" i="13"/>
  <c r="U176" i="13"/>
  <c r="V257" i="8"/>
  <c r="U118" i="13"/>
  <c r="V96" i="13"/>
  <c r="U53" i="13"/>
  <c r="V5" i="13"/>
  <c r="V79" i="13"/>
  <c r="U28" i="13"/>
  <c r="U7" i="13"/>
  <c r="V123" i="13"/>
  <c r="V77" i="13"/>
  <c r="V31" i="13"/>
  <c r="U178" i="13"/>
  <c r="U139" i="13"/>
  <c r="U99" i="13"/>
  <c r="V9" i="13"/>
  <c r="V55" i="13"/>
  <c r="U10" i="13"/>
  <c r="U114" i="13"/>
  <c r="U94" i="13"/>
  <c r="V50" i="13"/>
  <c r="U3" i="13"/>
  <c r="V71" i="13"/>
  <c r="V25" i="13"/>
  <c r="U175" i="13"/>
  <c r="V115" i="13"/>
  <c r="V69" i="13"/>
  <c r="V22" i="13"/>
  <c r="U169" i="13"/>
  <c r="U135" i="13"/>
  <c r="U97" i="13"/>
  <c r="U6" i="13"/>
  <c r="V49" i="13"/>
  <c r="U92" i="13"/>
  <c r="V83" i="13"/>
  <c r="V39" i="13"/>
  <c r="U181" i="13"/>
  <c r="V62" i="13"/>
  <c r="U22" i="13"/>
  <c r="V163" i="13"/>
  <c r="V99" i="13"/>
  <c r="V63" i="13"/>
  <c r="U11" i="13"/>
  <c r="V167" i="13"/>
  <c r="U129" i="13"/>
  <c r="V73" i="13"/>
  <c r="V169" i="13"/>
  <c r="V34" i="13"/>
  <c r="U108" i="13"/>
  <c r="V196" i="8"/>
  <c r="U158" i="13"/>
  <c r="U130" i="13"/>
  <c r="U110" i="13"/>
  <c r="V76" i="13"/>
  <c r="V33" i="13"/>
  <c r="V175" i="13"/>
  <c r="V51" i="13"/>
  <c r="U19" i="13"/>
  <c r="V151" i="13"/>
  <c r="U91" i="13"/>
  <c r="V57" i="13"/>
  <c r="V6" i="13"/>
  <c r="U163" i="13"/>
  <c r="U127" i="13"/>
  <c r="U69" i="13"/>
  <c r="B15" i="13" s="1"/>
  <c r="E15" i="13" s="1"/>
  <c r="U167" i="13"/>
  <c r="V29" i="13"/>
  <c r="U100" i="13"/>
  <c r="V91" i="13"/>
  <c r="U42" i="13"/>
  <c r="V3" i="13"/>
  <c r="V155" i="13"/>
  <c r="V107" i="13"/>
  <c r="U71" i="13"/>
  <c r="V42" i="13"/>
  <c r="U12" i="13"/>
  <c r="U151" i="13"/>
  <c r="U123" i="13"/>
  <c r="U77" i="13"/>
  <c r="V16" i="13"/>
  <c r="V129" i="13"/>
  <c r="U26" i="13"/>
  <c r="V58" i="13"/>
  <c r="U147" i="13"/>
  <c r="U121" i="13"/>
  <c r="V75" i="13"/>
  <c r="V14" i="13"/>
  <c r="V121" i="13"/>
  <c r="V170" i="13"/>
  <c r="V7" i="13"/>
  <c r="V44" i="13"/>
  <c r="V49" i="8"/>
  <c r="V16" i="8"/>
  <c r="V54" i="8"/>
  <c r="V125" i="8"/>
  <c r="V53" i="8"/>
  <c r="V166" i="8"/>
  <c r="V64" i="13"/>
  <c r="V17" i="13"/>
  <c r="V127" i="13"/>
  <c r="V95" i="13"/>
  <c r="U32" i="13"/>
  <c r="V82" i="13"/>
  <c r="V27" i="13"/>
  <c r="U82" i="13"/>
  <c r="U86" i="13"/>
  <c r="V67" i="13"/>
  <c r="U34" i="13"/>
  <c r="U190" i="13"/>
  <c r="V153" i="13"/>
  <c r="V113" i="13"/>
  <c r="U46" i="13"/>
  <c r="U23" i="13"/>
  <c r="U55" i="13"/>
  <c r="U148" i="13"/>
  <c r="V38" i="13"/>
  <c r="U140" i="13"/>
  <c r="V88" i="13"/>
  <c r="V159" i="13"/>
  <c r="U137" i="13"/>
  <c r="U115" i="13"/>
  <c r="U95" i="13"/>
  <c r="V65" i="13"/>
  <c r="V32" i="13"/>
  <c r="U182" i="13"/>
  <c r="V145" i="13"/>
  <c r="V111" i="13"/>
  <c r="U43" i="13"/>
  <c r="V20" i="13"/>
  <c r="V35" i="13"/>
  <c r="V110" i="8"/>
  <c r="V136" i="13"/>
  <c r="U164" i="13"/>
  <c r="U173" i="13"/>
  <c r="V15" i="13"/>
  <c r="U113" i="13"/>
  <c r="V89" i="13"/>
  <c r="U63" i="13"/>
  <c r="V26" i="13"/>
  <c r="V179" i="13"/>
  <c r="U143" i="13"/>
  <c r="V105" i="13"/>
  <c r="V40" i="13"/>
  <c r="V12" i="13"/>
  <c r="V24" i="13"/>
  <c r="U90" i="13"/>
  <c r="V152" i="13"/>
  <c r="U132" i="13"/>
  <c r="U177" i="13"/>
  <c r="V162" i="13"/>
  <c r="V150" i="13"/>
  <c r="V122" i="13"/>
  <c r="V106" i="13"/>
  <c r="V66" i="13"/>
  <c r="V47" i="13"/>
  <c r="U38" i="13"/>
  <c r="U18" i="13"/>
  <c r="V191" i="13"/>
  <c r="V114" i="13"/>
  <c r="V74" i="13"/>
  <c r="U76" i="13"/>
  <c r="U33" i="13"/>
  <c r="V8" i="13"/>
  <c r="V164" i="13"/>
  <c r="V138" i="13"/>
  <c r="V124" i="13"/>
  <c r="V108" i="13"/>
  <c r="U68" i="13"/>
  <c r="U66" i="13"/>
  <c r="U47" i="13"/>
  <c r="V30" i="13"/>
  <c r="V21" i="13"/>
  <c r="V156" i="13"/>
  <c r="U74" i="13"/>
  <c r="V140" i="13"/>
  <c r="V126" i="13"/>
  <c r="V110" i="13"/>
  <c r="V94" i="13"/>
  <c r="U70" i="13"/>
  <c r="V41" i="13"/>
  <c r="U30" i="13"/>
  <c r="U21" i="13"/>
  <c r="V183" i="13"/>
  <c r="V154" i="13"/>
  <c r="U128" i="13"/>
  <c r="U112" i="13"/>
  <c r="U96" i="13"/>
  <c r="U50" i="13"/>
  <c r="U41" i="13"/>
  <c r="U144" i="13"/>
  <c r="V132" i="13"/>
  <c r="V116" i="13"/>
  <c r="V100" i="13"/>
  <c r="U35" i="13"/>
  <c r="K25" i="11"/>
  <c r="V146" i="13"/>
  <c r="V134" i="13"/>
  <c r="V118" i="13"/>
  <c r="V102" i="13"/>
  <c r="U88" i="13"/>
  <c r="U78" i="13"/>
  <c r="V53" i="13"/>
  <c r="U2" i="13"/>
  <c r="U160" i="13"/>
  <c r="V148" i="13"/>
  <c r="U120" i="13"/>
  <c r="U104" i="13"/>
  <c r="V90" i="13"/>
  <c r="U27" i="13"/>
  <c r="V18" i="13"/>
  <c r="U13" i="13"/>
  <c r="U168" i="13"/>
  <c r="V130" i="13"/>
  <c r="V98" i="13"/>
  <c r="U61" i="13"/>
  <c r="U24" i="13"/>
  <c r="V86" i="13"/>
  <c r="V59" i="13"/>
  <c r="U153" i="13"/>
  <c r="U131" i="13"/>
  <c r="U111" i="13"/>
  <c r="V87" i="13"/>
  <c r="V60" i="13"/>
  <c r="V23" i="13"/>
  <c r="V176" i="13"/>
  <c r="V137" i="13"/>
  <c r="V103" i="13"/>
  <c r="U37" i="13"/>
  <c r="V4" i="13"/>
  <c r="V2" i="13"/>
  <c r="V69" i="8"/>
  <c r="V158" i="8"/>
  <c r="V70" i="8"/>
  <c r="V80" i="13"/>
  <c r="U124" i="13"/>
  <c r="U116" i="13"/>
  <c r="U156" i="13"/>
  <c r="V37" i="8"/>
  <c r="V4" i="8"/>
  <c r="V22" i="8"/>
  <c r="E19" i="4"/>
  <c r="D16" i="4"/>
  <c r="A25" i="13"/>
  <c r="A24" i="13"/>
  <c r="B11" i="4"/>
  <c r="B28" i="4" s="1"/>
  <c r="E28" i="4" s="1"/>
  <c r="E17" i="4"/>
  <c r="E30" i="3"/>
  <c r="H12" i="11"/>
  <c r="B6" i="12"/>
  <c r="B8" i="12" s="1"/>
  <c r="B10" i="12" s="1"/>
  <c r="B18" i="12" s="1"/>
  <c r="E18" i="12" s="1"/>
  <c r="B6" i="7"/>
  <c r="B8" i="7" s="1"/>
  <c r="B10" i="7" s="1"/>
  <c r="E29" i="3"/>
  <c r="B10" i="5"/>
  <c r="B20" i="5" s="1"/>
  <c r="E20" i="5" s="1"/>
  <c r="B9" i="4"/>
  <c r="A27" i="4" s="1"/>
  <c r="B28" i="3"/>
  <c r="E28" i="3" s="1"/>
  <c r="B24" i="3"/>
  <c r="E24" i="3" s="1"/>
  <c r="L2" i="5"/>
  <c r="B8" i="5"/>
  <c r="B12" i="10"/>
  <c r="E12" i="10" s="1"/>
  <c r="B11" i="10"/>
  <c r="E11" i="10" s="1"/>
  <c r="B10" i="10"/>
  <c r="E10" i="10" s="1"/>
  <c r="E15" i="3"/>
  <c r="B23" i="3"/>
  <c r="E23" i="3" s="1"/>
  <c r="A23" i="3"/>
  <c r="O278" i="13"/>
  <c r="N290" i="13"/>
  <c r="U199" i="13"/>
  <c r="Q211" i="13"/>
  <c r="S227" i="13"/>
  <c r="V215" i="13"/>
  <c r="N284" i="13"/>
  <c r="O272" i="13"/>
  <c r="S209" i="13"/>
  <c r="V197" i="13"/>
  <c r="V213" i="13"/>
  <c r="S225" i="13"/>
  <c r="U183" i="13"/>
  <c r="Q195" i="13"/>
  <c r="Q217" i="13"/>
  <c r="U205" i="13"/>
  <c r="S211" i="13"/>
  <c r="V199" i="13"/>
  <c r="Q226" i="13"/>
  <c r="U214" i="13"/>
  <c r="S206" i="13"/>
  <c r="V194" i="13"/>
  <c r="Q216" i="13"/>
  <c r="U204" i="13"/>
  <c r="S219" i="13"/>
  <c r="V207" i="13"/>
  <c r="S210" i="13"/>
  <c r="V198" i="13"/>
  <c r="N303" i="13"/>
  <c r="O291" i="13"/>
  <c r="O300" i="13"/>
  <c r="N312" i="13"/>
  <c r="U191" i="13"/>
  <c r="Q203" i="13"/>
  <c r="O294" i="13"/>
  <c r="N306" i="13"/>
  <c r="S217" i="13"/>
  <c r="V205" i="13"/>
  <c r="Q210" i="13"/>
  <c r="U198" i="13"/>
  <c r="V184" i="13"/>
  <c r="S196" i="13"/>
  <c r="V200" i="13"/>
  <c r="S212" i="13"/>
  <c r="U212" i="13"/>
  <c r="Q224" i="13"/>
  <c r="Q209" i="13"/>
  <c r="U197" i="13"/>
  <c r="O298" i="13"/>
  <c r="N310" i="13"/>
  <c r="O292" i="13"/>
  <c r="N304" i="13"/>
  <c r="Q208" i="13"/>
  <c r="U196" i="13"/>
  <c r="S214" i="13"/>
  <c r="V202" i="13"/>
  <c r="Q213" i="13"/>
  <c r="U201" i="13"/>
  <c r="Q218" i="13"/>
  <c r="U206" i="13"/>
  <c r="V192" i="13"/>
  <c r="S204" i="13"/>
  <c r="Q213" i="8"/>
  <c r="U192" i="8"/>
  <c r="S269" i="8"/>
  <c r="S281" i="8" s="1"/>
  <c r="V245" i="8"/>
  <c r="S204" i="8"/>
  <c r="V204" i="8" s="1"/>
  <c r="V189" i="8"/>
  <c r="V184" i="8"/>
  <c r="V200" i="8"/>
  <c r="S212" i="8"/>
  <c r="Q194" i="8"/>
  <c r="Q206" i="8" s="1"/>
  <c r="V201" i="8"/>
  <c r="U191" i="8"/>
  <c r="Q203" i="8"/>
  <c r="S203" i="8"/>
  <c r="V191" i="8"/>
  <c r="S195" i="8"/>
  <c r="V183" i="8"/>
  <c r="Q216" i="8"/>
  <c r="U204" i="8"/>
  <c r="V269" i="8"/>
  <c r="S211" i="8"/>
  <c r="V199" i="8"/>
  <c r="S206" i="8"/>
  <c r="V194" i="8"/>
  <c r="S225" i="8"/>
  <c r="V213" i="8"/>
  <c r="Q196" i="8"/>
  <c r="U184" i="8"/>
  <c r="U199" i="8"/>
  <c r="Q211" i="8"/>
  <c r="U183" i="8"/>
  <c r="Q195" i="8"/>
  <c r="V277" i="8"/>
  <c r="S289" i="8"/>
  <c r="U193" i="8"/>
  <c r="Q205" i="8"/>
  <c r="S198" i="8"/>
  <c r="V186" i="8"/>
  <c r="S202" i="8"/>
  <c r="V190" i="8"/>
  <c r="U185" i="8"/>
  <c r="Q197" i="8"/>
  <c r="V208" i="8"/>
  <c r="S220" i="8"/>
  <c r="Q262" i="8"/>
  <c r="U250" i="8"/>
  <c r="Q200" i="8"/>
  <c r="U188" i="8"/>
  <c r="U213" i="8"/>
  <c r="Q225" i="8"/>
  <c r="Q210" i="8"/>
  <c r="U198" i="8"/>
  <c r="B23" i="5"/>
  <c r="E23" i="5" s="1"/>
  <c r="F16" i="3"/>
  <c r="G16" i="3" s="1"/>
  <c r="B6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3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B8" i="1"/>
  <c r="B7" i="1"/>
  <c r="B16" i="13" l="1"/>
  <c r="E16" i="13" s="1"/>
  <c r="E19" i="13" s="1"/>
  <c r="K31" i="11" s="1"/>
  <c r="B15" i="8"/>
  <c r="A24" i="8"/>
  <c r="G36" i="14" s="1" a="1"/>
  <c r="G36" i="14" s="1"/>
  <c r="B16" i="8"/>
  <c r="E16" i="8" s="1"/>
  <c r="G29" i="11"/>
  <c r="F29" i="11"/>
  <c r="A19" i="7"/>
  <c r="A18" i="7"/>
  <c r="A18" i="12"/>
  <c r="B17" i="7"/>
  <c r="E17" i="7" s="1"/>
  <c r="B16" i="7"/>
  <c r="E16" i="7" s="1"/>
  <c r="I5" i="11"/>
  <c r="B16" i="12"/>
  <c r="E16" i="12" s="1"/>
  <c r="B18" i="7"/>
  <c r="E18" i="7" s="1"/>
  <c r="B23" i="4"/>
  <c r="I10" i="11" s="1"/>
  <c r="I12" i="11" s="1"/>
  <c r="B17" i="12"/>
  <c r="E17" i="12" s="1"/>
  <c r="B22" i="4"/>
  <c r="D27" i="4" s="1"/>
  <c r="E27" i="4" s="1"/>
  <c r="B15" i="5"/>
  <c r="D19" i="5" s="1"/>
  <c r="E19" i="5" s="1"/>
  <c r="E26" i="5" s="1"/>
  <c r="J13" i="11" s="1"/>
  <c r="J5" i="11"/>
  <c r="A19" i="5"/>
  <c r="Q215" i="13"/>
  <c r="U203" i="13"/>
  <c r="S231" i="13"/>
  <c r="V219" i="13"/>
  <c r="V214" i="13"/>
  <c r="S226" i="13"/>
  <c r="Q221" i="13"/>
  <c r="U209" i="13"/>
  <c r="Q222" i="13"/>
  <c r="U210" i="13"/>
  <c r="U216" i="13"/>
  <c r="Q228" i="13"/>
  <c r="U217" i="13"/>
  <c r="Q229" i="13"/>
  <c r="O284" i="13"/>
  <c r="N296" i="13"/>
  <c r="Q207" i="13"/>
  <c r="U195" i="13"/>
  <c r="S208" i="13"/>
  <c r="V196" i="13"/>
  <c r="O290" i="13"/>
  <c r="N302" i="13"/>
  <c r="S223" i="13"/>
  <c r="V211" i="13"/>
  <c r="U224" i="13"/>
  <c r="Q236" i="13"/>
  <c r="Q220" i="13"/>
  <c r="U208" i="13"/>
  <c r="V217" i="13"/>
  <c r="S229" i="13"/>
  <c r="N315" i="13"/>
  <c r="O303" i="13"/>
  <c r="S218" i="13"/>
  <c r="V206" i="13"/>
  <c r="S239" i="13"/>
  <c r="V227" i="13"/>
  <c r="O310" i="13"/>
  <c r="N322" i="13"/>
  <c r="U213" i="13"/>
  <c r="Q225" i="13"/>
  <c r="S221" i="13"/>
  <c r="V209" i="13"/>
  <c r="O312" i="13"/>
  <c r="N324" i="13"/>
  <c r="S216" i="13"/>
  <c r="V204" i="13"/>
  <c r="O304" i="13"/>
  <c r="N316" i="13"/>
  <c r="V212" i="13"/>
  <c r="S224" i="13"/>
  <c r="O306" i="13"/>
  <c r="N318" i="13"/>
  <c r="V225" i="13"/>
  <c r="S237" i="13"/>
  <c r="Q223" i="13"/>
  <c r="U211" i="13"/>
  <c r="Q230" i="13"/>
  <c r="U218" i="13"/>
  <c r="S222" i="13"/>
  <c r="V210" i="13"/>
  <c r="Q238" i="13"/>
  <c r="U226" i="13"/>
  <c r="E15" i="10"/>
  <c r="S216" i="8"/>
  <c r="U194" i="8"/>
  <c r="U203" i="8"/>
  <c r="Q215" i="8"/>
  <c r="V212" i="8"/>
  <c r="S224" i="8"/>
  <c r="S214" i="8"/>
  <c r="V202" i="8"/>
  <c r="U211" i="8"/>
  <c r="Q223" i="8"/>
  <c r="Q222" i="8"/>
  <c r="U210" i="8"/>
  <c r="U225" i="8"/>
  <c r="Q237" i="8"/>
  <c r="U197" i="8"/>
  <c r="Q209" i="8"/>
  <c r="S301" i="8"/>
  <c r="V289" i="8"/>
  <c r="V220" i="8"/>
  <c r="S232" i="8"/>
  <c r="Q228" i="8"/>
  <c r="U216" i="8"/>
  <c r="Q208" i="8"/>
  <c r="U196" i="8"/>
  <c r="S207" i="8"/>
  <c r="V195" i="8"/>
  <c r="U205" i="8"/>
  <c r="Q217" i="8"/>
  <c r="V216" i="8"/>
  <c r="S228" i="8"/>
  <c r="S237" i="8"/>
  <c r="V225" i="8"/>
  <c r="S223" i="8"/>
  <c r="V211" i="8"/>
  <c r="Q218" i="8"/>
  <c r="U206" i="8"/>
  <c r="Q212" i="8"/>
  <c r="U200" i="8"/>
  <c r="U195" i="8"/>
  <c r="Q207" i="8"/>
  <c r="Q274" i="8"/>
  <c r="U262" i="8"/>
  <c r="S210" i="8"/>
  <c r="V198" i="8"/>
  <c r="S218" i="8"/>
  <c r="V206" i="8"/>
  <c r="V281" i="8"/>
  <c r="S293" i="8"/>
  <c r="S215" i="8"/>
  <c r="V203" i="8"/>
  <c r="F15" i="3"/>
  <c r="C15" i="1"/>
  <c r="E15" i="1" s="1"/>
  <c r="B17" i="1"/>
  <c r="D18" i="4"/>
  <c r="D12" i="1"/>
  <c r="D14" i="1" s="1"/>
  <c r="E25" i="1"/>
  <c r="E14" i="1"/>
  <c r="B24" i="1"/>
  <c r="E24" i="1" s="1"/>
  <c r="B14" i="1"/>
  <c r="E13" i="1"/>
  <c r="D13" i="1"/>
  <c r="D15" i="1" s="1"/>
  <c r="E12" i="1"/>
  <c r="E15" i="8" l="1"/>
  <c r="J29" i="11"/>
  <c r="E19" i="8"/>
  <c r="H31" i="11" s="1"/>
  <c r="E22" i="12"/>
  <c r="J31" i="11" s="1"/>
  <c r="E22" i="7"/>
  <c r="G31" i="11" s="1"/>
  <c r="I29" i="11"/>
  <c r="K29" i="11"/>
  <c r="H29" i="11"/>
  <c r="H7" i="14" s="1" a="1"/>
  <c r="H7" i="14" s="1"/>
  <c r="B26" i="1"/>
  <c r="E26" i="1" s="1"/>
  <c r="G11" i="11"/>
  <c r="G12" i="11" s="1"/>
  <c r="O316" i="13"/>
  <c r="N328" i="13"/>
  <c r="Q235" i="13"/>
  <c r="U223" i="13"/>
  <c r="N327" i="13"/>
  <c r="O315" i="13"/>
  <c r="V223" i="13"/>
  <c r="S235" i="13"/>
  <c r="Q233" i="13"/>
  <c r="U221" i="13"/>
  <c r="U225" i="13"/>
  <c r="Q237" i="13"/>
  <c r="O296" i="13"/>
  <c r="N308" i="13"/>
  <c r="V237" i="13"/>
  <c r="S249" i="13"/>
  <c r="O322" i="13"/>
  <c r="N334" i="13"/>
  <c r="V229" i="13"/>
  <c r="S241" i="13"/>
  <c r="O302" i="13"/>
  <c r="N314" i="13"/>
  <c r="U229" i="13"/>
  <c r="Q241" i="13"/>
  <c r="V226" i="13"/>
  <c r="S238" i="13"/>
  <c r="U238" i="13"/>
  <c r="Q250" i="13"/>
  <c r="S228" i="13"/>
  <c r="V216" i="13"/>
  <c r="O318" i="13"/>
  <c r="N330" i="13"/>
  <c r="O324" i="13"/>
  <c r="N336" i="13"/>
  <c r="U228" i="13"/>
  <c r="Q240" i="13"/>
  <c r="Q232" i="13"/>
  <c r="U220" i="13"/>
  <c r="V208" i="13"/>
  <c r="S220" i="13"/>
  <c r="V231" i="13"/>
  <c r="S243" i="13"/>
  <c r="S234" i="13"/>
  <c r="V222" i="13"/>
  <c r="V239" i="13"/>
  <c r="S251" i="13"/>
  <c r="S236" i="13"/>
  <c r="V224" i="13"/>
  <c r="U236" i="13"/>
  <c r="Q248" i="13"/>
  <c r="U230" i="13"/>
  <c r="Q242" i="13"/>
  <c r="S233" i="13"/>
  <c r="V221" i="13"/>
  <c r="V218" i="13"/>
  <c r="S230" i="13"/>
  <c r="U207" i="13"/>
  <c r="Q219" i="13"/>
  <c r="U222" i="13"/>
  <c r="Q234" i="13"/>
  <c r="Q227" i="13"/>
  <c r="U215" i="13"/>
  <c r="B22" i="1"/>
  <c r="E22" i="1" s="1"/>
  <c r="V224" i="8"/>
  <c r="S236" i="8"/>
  <c r="U215" i="8"/>
  <c r="Q227" i="8"/>
  <c r="S235" i="8"/>
  <c r="V223" i="8"/>
  <c r="V232" i="8"/>
  <c r="S244" i="8"/>
  <c r="S249" i="8"/>
  <c r="V237" i="8"/>
  <c r="S219" i="8"/>
  <c r="V207" i="8"/>
  <c r="Q234" i="8"/>
  <c r="U222" i="8"/>
  <c r="U237" i="8"/>
  <c r="Q249" i="8"/>
  <c r="U207" i="8"/>
  <c r="Q219" i="8"/>
  <c r="U223" i="8"/>
  <c r="Q235" i="8"/>
  <c r="U217" i="8"/>
  <c r="Q229" i="8"/>
  <c r="S227" i="8"/>
  <c r="V215" i="8"/>
  <c r="S305" i="8"/>
  <c r="V293" i="8"/>
  <c r="S230" i="8"/>
  <c r="V218" i="8"/>
  <c r="Q220" i="8"/>
  <c r="U208" i="8"/>
  <c r="S313" i="8"/>
  <c r="V301" i="8"/>
  <c r="V228" i="8"/>
  <c r="S240" i="8"/>
  <c r="U209" i="8"/>
  <c r="Q221" i="8"/>
  <c r="Q286" i="8"/>
  <c r="U274" i="8"/>
  <c r="Q224" i="8"/>
  <c r="U212" i="8"/>
  <c r="S222" i="8"/>
  <c r="V210" i="8"/>
  <c r="Q230" i="8"/>
  <c r="U218" i="8"/>
  <c r="Q240" i="8"/>
  <c r="U228" i="8"/>
  <c r="S226" i="8"/>
  <c r="V214" i="8"/>
  <c r="G15" i="3"/>
  <c r="G17" i="3" s="1"/>
  <c r="F14" i="1"/>
  <c r="G14" i="1" s="1"/>
  <c r="F12" i="1"/>
  <c r="G12" i="1" s="1"/>
  <c r="F15" i="1"/>
  <c r="G15" i="1" s="1"/>
  <c r="F13" i="1"/>
  <c r="G13" i="1" s="1"/>
  <c r="G16" i="14" l="1" a="1"/>
  <c r="G16" i="14" s="1"/>
  <c r="G26" i="14" a="1"/>
  <c r="G26" i="14" s="1"/>
  <c r="K7" i="14" a="1"/>
  <c r="K7" i="14" s="1"/>
  <c r="Q231" i="13"/>
  <c r="U219" i="13"/>
  <c r="S255" i="13"/>
  <c r="V243" i="13"/>
  <c r="V238" i="13"/>
  <c r="S250" i="13"/>
  <c r="O328" i="13"/>
  <c r="N340" i="13"/>
  <c r="S247" i="13"/>
  <c r="V235" i="13"/>
  <c r="V236" i="13"/>
  <c r="S248" i="13"/>
  <c r="O308" i="13"/>
  <c r="N320" i="13"/>
  <c r="O330" i="13"/>
  <c r="N342" i="13"/>
  <c r="S263" i="13"/>
  <c r="V251" i="13"/>
  <c r="O314" i="13"/>
  <c r="N326" i="13"/>
  <c r="U227" i="13"/>
  <c r="Q239" i="13"/>
  <c r="S245" i="13"/>
  <c r="V233" i="13"/>
  <c r="Q244" i="13"/>
  <c r="U232" i="13"/>
  <c r="V228" i="13"/>
  <c r="S240" i="13"/>
  <c r="N339" i="13"/>
  <c r="O327" i="13"/>
  <c r="U248" i="13"/>
  <c r="Q260" i="13"/>
  <c r="O336" i="13"/>
  <c r="N348" i="13"/>
  <c r="O334" i="13"/>
  <c r="N346" i="13"/>
  <c r="U233" i="13"/>
  <c r="Q245" i="13"/>
  <c r="S232" i="13"/>
  <c r="V220" i="13"/>
  <c r="S261" i="13"/>
  <c r="V249" i="13"/>
  <c r="Q246" i="13"/>
  <c r="U234" i="13"/>
  <c r="U242" i="13"/>
  <c r="Q254" i="13"/>
  <c r="Q252" i="13"/>
  <c r="U240" i="13"/>
  <c r="U250" i="13"/>
  <c r="Q262" i="13"/>
  <c r="S253" i="13"/>
  <c r="V241" i="13"/>
  <c r="U237" i="13"/>
  <c r="Q249" i="13"/>
  <c r="V230" i="13"/>
  <c r="S242" i="13"/>
  <c r="U241" i="13"/>
  <c r="Q253" i="13"/>
  <c r="V234" i="13"/>
  <c r="S246" i="13"/>
  <c r="U235" i="13"/>
  <c r="Q247" i="13"/>
  <c r="B25" i="3"/>
  <c r="E25" i="3" s="1"/>
  <c r="E31" i="3" s="1"/>
  <c r="U227" i="8"/>
  <c r="Q239" i="8"/>
  <c r="V236" i="8"/>
  <c r="S248" i="8"/>
  <c r="S325" i="8"/>
  <c r="V313" i="8"/>
  <c r="U229" i="8"/>
  <c r="Q241" i="8"/>
  <c r="U249" i="8"/>
  <c r="Q261" i="8"/>
  <c r="U219" i="8"/>
  <c r="Q231" i="8"/>
  <c r="Q236" i="8"/>
  <c r="U224" i="8"/>
  <c r="V249" i="8"/>
  <c r="S261" i="8"/>
  <c r="Q298" i="8"/>
  <c r="U286" i="8"/>
  <c r="Q232" i="8"/>
  <c r="U220" i="8"/>
  <c r="U221" i="8"/>
  <c r="Q233" i="8"/>
  <c r="U235" i="8"/>
  <c r="Q247" i="8"/>
  <c r="V244" i="8"/>
  <c r="S256" i="8"/>
  <c r="S238" i="8"/>
  <c r="V226" i="8"/>
  <c r="U230" i="8"/>
  <c r="Q242" i="8"/>
  <c r="S239" i="8"/>
  <c r="V227" i="8"/>
  <c r="U240" i="8"/>
  <c r="Q252" i="8"/>
  <c r="V230" i="8"/>
  <c r="S242" i="8"/>
  <c r="U234" i="8"/>
  <c r="Q246" i="8"/>
  <c r="V240" i="8"/>
  <c r="S252" i="8"/>
  <c r="S234" i="8"/>
  <c r="V222" i="8"/>
  <c r="S317" i="8"/>
  <c r="V305" i="8"/>
  <c r="S231" i="8"/>
  <c r="V219" i="8"/>
  <c r="V235" i="8"/>
  <c r="S247" i="8"/>
  <c r="G16" i="1"/>
  <c r="B23" i="1" s="1"/>
  <c r="E23" i="1" s="1"/>
  <c r="E27" i="1" s="1"/>
  <c r="G13" i="11" s="1"/>
  <c r="H13" i="11" l="1"/>
  <c r="A16" i="14" a="1"/>
  <c r="A16" i="14" s="1"/>
  <c r="V247" i="13"/>
  <c r="S259" i="13"/>
  <c r="U260" i="13"/>
  <c r="Q272" i="13"/>
  <c r="S244" i="13"/>
  <c r="V232" i="13"/>
  <c r="S257" i="13"/>
  <c r="V245" i="13"/>
  <c r="Q243" i="13"/>
  <c r="U231" i="13"/>
  <c r="O340" i="13"/>
  <c r="N352" i="13"/>
  <c r="O352" i="13" s="1"/>
  <c r="U254" i="13"/>
  <c r="Q266" i="13"/>
  <c r="Q251" i="13"/>
  <c r="U239" i="13"/>
  <c r="O320" i="13"/>
  <c r="N332" i="13"/>
  <c r="S262" i="13"/>
  <c r="V250" i="13"/>
  <c r="U249" i="13"/>
  <c r="Q261" i="13"/>
  <c r="N351" i="13"/>
  <c r="O351" i="13" s="1"/>
  <c r="O339" i="13"/>
  <c r="S273" i="13"/>
  <c r="V261" i="13"/>
  <c r="V263" i="13"/>
  <c r="S275" i="13"/>
  <c r="S254" i="13"/>
  <c r="V242" i="13"/>
  <c r="O342" i="13"/>
  <c r="N354" i="13"/>
  <c r="O354" i="13" s="1"/>
  <c r="U252" i="13"/>
  <c r="Q264" i="13"/>
  <c r="U247" i="13"/>
  <c r="Q259" i="13"/>
  <c r="U245" i="13"/>
  <c r="Q257" i="13"/>
  <c r="V246" i="13"/>
  <c r="S258" i="13"/>
  <c r="O346" i="13"/>
  <c r="N358" i="13"/>
  <c r="O358" i="13" s="1"/>
  <c r="S252" i="13"/>
  <c r="V240" i="13"/>
  <c r="O326" i="13"/>
  <c r="N338" i="13"/>
  <c r="V248" i="13"/>
  <c r="S260" i="13"/>
  <c r="U244" i="13"/>
  <c r="Q256" i="13"/>
  <c r="S265" i="13"/>
  <c r="V253" i="13"/>
  <c r="U246" i="13"/>
  <c r="Q258" i="13"/>
  <c r="V255" i="13"/>
  <c r="S267" i="13"/>
  <c r="U253" i="13"/>
  <c r="Q265" i="13"/>
  <c r="U262" i="13"/>
  <c r="Q274" i="13"/>
  <c r="O348" i="13"/>
  <c r="N360" i="13"/>
  <c r="O360" i="13" s="1"/>
  <c r="S260" i="8"/>
  <c r="V248" i="8"/>
  <c r="U239" i="8"/>
  <c r="Q251" i="8"/>
  <c r="Q310" i="8"/>
  <c r="U298" i="8"/>
  <c r="V252" i="8"/>
  <c r="S264" i="8"/>
  <c r="U247" i="8"/>
  <c r="Q259" i="8"/>
  <c r="V261" i="8"/>
  <c r="S273" i="8"/>
  <c r="Q273" i="8"/>
  <c r="U261" i="8"/>
  <c r="S268" i="8"/>
  <c r="V256" i="8"/>
  <c r="V231" i="8"/>
  <c r="S243" i="8"/>
  <c r="V239" i="8"/>
  <c r="S251" i="8"/>
  <c r="U252" i="8"/>
  <c r="Q264" i="8"/>
  <c r="U246" i="8"/>
  <c r="Q258" i="8"/>
  <c r="Q254" i="8"/>
  <c r="U242" i="8"/>
  <c r="U233" i="8"/>
  <c r="Q245" i="8"/>
  <c r="U241" i="8"/>
  <c r="Q253" i="8"/>
  <c r="S329" i="8"/>
  <c r="V317" i="8"/>
  <c r="U236" i="8"/>
  <c r="Q248" i="8"/>
  <c r="S259" i="8"/>
  <c r="V247" i="8"/>
  <c r="V242" i="8"/>
  <c r="S254" i="8"/>
  <c r="U231" i="8"/>
  <c r="Q243" i="8"/>
  <c r="V234" i="8"/>
  <c r="S246" i="8"/>
  <c r="V238" i="8"/>
  <c r="S250" i="8"/>
  <c r="U232" i="8"/>
  <c r="Q244" i="8"/>
  <c r="S337" i="8"/>
  <c r="V325" i="8"/>
  <c r="U256" i="13" l="1"/>
  <c r="Q268" i="13"/>
  <c r="V259" i="13"/>
  <c r="S271" i="13"/>
  <c r="V260" i="13"/>
  <c r="S272" i="13"/>
  <c r="V258" i="13"/>
  <c r="S270" i="13"/>
  <c r="U251" i="13"/>
  <c r="Q263" i="13"/>
  <c r="S269" i="13"/>
  <c r="V257" i="13"/>
  <c r="U265" i="13"/>
  <c r="Q277" i="13"/>
  <c r="O332" i="13"/>
  <c r="N344" i="13"/>
  <c r="U258" i="13"/>
  <c r="Q270" i="13"/>
  <c r="O338" i="13"/>
  <c r="N350" i="13"/>
  <c r="O350" i="13" s="1"/>
  <c r="U257" i="13"/>
  <c r="Q269" i="13"/>
  <c r="U261" i="13"/>
  <c r="Q273" i="13"/>
  <c r="U266" i="13"/>
  <c r="Q278" i="13"/>
  <c r="V254" i="13"/>
  <c r="S266" i="13"/>
  <c r="V244" i="13"/>
  <c r="S256" i="13"/>
  <c r="S285" i="13"/>
  <c r="V273" i="13"/>
  <c r="U243" i="13"/>
  <c r="Q255" i="13"/>
  <c r="V267" i="13"/>
  <c r="S279" i="13"/>
  <c r="Q286" i="13"/>
  <c r="U274" i="13"/>
  <c r="U259" i="13"/>
  <c r="Q271" i="13"/>
  <c r="S287" i="13"/>
  <c r="V275" i="13"/>
  <c r="Q284" i="13"/>
  <c r="U272" i="13"/>
  <c r="U264" i="13"/>
  <c r="Q276" i="13"/>
  <c r="S277" i="13"/>
  <c r="V265" i="13"/>
  <c r="V252" i="13"/>
  <c r="S264" i="13"/>
  <c r="V262" i="13"/>
  <c r="S274" i="13"/>
  <c r="U251" i="8"/>
  <c r="Q263" i="8"/>
  <c r="V260" i="8"/>
  <c r="S272" i="8"/>
  <c r="S276" i="8"/>
  <c r="V264" i="8"/>
  <c r="S280" i="8"/>
  <c r="V268" i="8"/>
  <c r="Q255" i="8"/>
  <c r="U243" i="8"/>
  <c r="Q270" i="8"/>
  <c r="U258" i="8"/>
  <c r="S349" i="8"/>
  <c r="V337" i="8"/>
  <c r="S341" i="8"/>
  <c r="V329" i="8"/>
  <c r="U244" i="8"/>
  <c r="Q256" i="8"/>
  <c r="V254" i="8"/>
  <c r="S266" i="8"/>
  <c r="Q265" i="8"/>
  <c r="U253" i="8"/>
  <c r="U264" i="8"/>
  <c r="Q276" i="8"/>
  <c r="Q285" i="8"/>
  <c r="U273" i="8"/>
  <c r="Q322" i="8"/>
  <c r="U310" i="8"/>
  <c r="S262" i="8"/>
  <c r="V250" i="8"/>
  <c r="Q257" i="8"/>
  <c r="U245" i="8"/>
  <c r="V251" i="8"/>
  <c r="S263" i="8"/>
  <c r="S285" i="8"/>
  <c r="V273" i="8"/>
  <c r="S271" i="8"/>
  <c r="V259" i="8"/>
  <c r="V246" i="8"/>
  <c r="S258" i="8"/>
  <c r="U248" i="8"/>
  <c r="Q260" i="8"/>
  <c r="V243" i="8"/>
  <c r="S255" i="8"/>
  <c r="Q271" i="8"/>
  <c r="U259" i="8"/>
  <c r="Q266" i="8"/>
  <c r="U254" i="8"/>
  <c r="B33" i="4"/>
  <c r="E33" i="4" s="1"/>
  <c r="B31" i="4"/>
  <c r="E31" i="4" s="1"/>
  <c r="D17" i="4"/>
  <c r="D19" i="4" s="1"/>
  <c r="F19" i="4" s="1"/>
  <c r="G19" i="4" s="1"/>
  <c r="F18" i="4"/>
  <c r="G18" i="4" s="1"/>
  <c r="E30" i="4"/>
  <c r="F16" i="4"/>
  <c r="G16" i="4" s="1"/>
  <c r="F17" i="4" l="1"/>
  <c r="G17" i="4" s="1"/>
  <c r="G20" i="4" s="1"/>
  <c r="Q285" i="13"/>
  <c r="U273" i="13"/>
  <c r="V285" i="13"/>
  <c r="S297" i="13"/>
  <c r="S282" i="13"/>
  <c r="V270" i="13"/>
  <c r="V277" i="13"/>
  <c r="S289" i="13"/>
  <c r="Q288" i="13"/>
  <c r="U276" i="13"/>
  <c r="V256" i="13"/>
  <c r="S268" i="13"/>
  <c r="Q281" i="13"/>
  <c r="U269" i="13"/>
  <c r="Q289" i="13"/>
  <c r="U277" i="13"/>
  <c r="S284" i="13"/>
  <c r="V272" i="13"/>
  <c r="V287" i="13"/>
  <c r="S299" i="13"/>
  <c r="Q283" i="13"/>
  <c r="U271" i="13"/>
  <c r="O344" i="13"/>
  <c r="N356" i="13"/>
  <c r="O356" i="13" s="1"/>
  <c r="U286" i="13"/>
  <c r="Q298" i="13"/>
  <c r="S286" i="13"/>
  <c r="V274" i="13"/>
  <c r="V279" i="13"/>
  <c r="S291" i="13"/>
  <c r="V266" i="13"/>
  <c r="S278" i="13"/>
  <c r="S283" i="13"/>
  <c r="V271" i="13"/>
  <c r="U284" i="13"/>
  <c r="Q296" i="13"/>
  <c r="S281" i="13"/>
  <c r="V269" i="13"/>
  <c r="V264" i="13"/>
  <c r="S276" i="13"/>
  <c r="U255" i="13"/>
  <c r="Q267" i="13"/>
  <c r="Q290" i="13"/>
  <c r="U278" i="13"/>
  <c r="Q282" i="13"/>
  <c r="U270" i="13"/>
  <c r="U263" i="13"/>
  <c r="Q275" i="13"/>
  <c r="Q280" i="13"/>
  <c r="U268" i="13"/>
  <c r="S284" i="8"/>
  <c r="V272" i="8"/>
  <c r="Q275" i="8"/>
  <c r="U263" i="8"/>
  <c r="U260" i="8"/>
  <c r="Q272" i="8"/>
  <c r="U256" i="8"/>
  <c r="Q268" i="8"/>
  <c r="S278" i="8"/>
  <c r="V266" i="8"/>
  <c r="Q282" i="8"/>
  <c r="U270" i="8"/>
  <c r="Q297" i="8"/>
  <c r="U285" i="8"/>
  <c r="Q267" i="8"/>
  <c r="U255" i="8"/>
  <c r="S275" i="8"/>
  <c r="V263" i="8"/>
  <c r="U276" i="8"/>
  <c r="Q288" i="8"/>
  <c r="S297" i="8"/>
  <c r="V285" i="8"/>
  <c r="S270" i="8"/>
  <c r="V258" i="8"/>
  <c r="S283" i="8"/>
  <c r="V271" i="8"/>
  <c r="Q269" i="8"/>
  <c r="U257" i="8"/>
  <c r="S353" i="8"/>
  <c r="V353" i="8" s="1"/>
  <c r="V341" i="8"/>
  <c r="S267" i="8"/>
  <c r="V255" i="8"/>
  <c r="Q278" i="8"/>
  <c r="U266" i="8"/>
  <c r="Q334" i="8"/>
  <c r="U322" i="8"/>
  <c r="Q283" i="8"/>
  <c r="U271" i="8"/>
  <c r="S292" i="8"/>
  <c r="V280" i="8"/>
  <c r="S274" i="8"/>
  <c r="V262" i="8"/>
  <c r="Q277" i="8"/>
  <c r="U265" i="8"/>
  <c r="S361" i="8"/>
  <c r="V361" i="8" s="1"/>
  <c r="V349" i="8"/>
  <c r="S288" i="8"/>
  <c r="V276" i="8"/>
  <c r="E34" i="4"/>
  <c r="I13" i="11" s="1"/>
  <c r="Q287" i="13" l="1"/>
  <c r="U275" i="13"/>
  <c r="U289" i="13"/>
  <c r="Q301" i="13"/>
  <c r="S288" i="13"/>
  <c r="V276" i="13"/>
  <c r="U282" i="13"/>
  <c r="Q294" i="13"/>
  <c r="U283" i="13"/>
  <c r="Q295" i="13"/>
  <c r="U281" i="13"/>
  <c r="Q293" i="13"/>
  <c r="V282" i="13"/>
  <c r="S294" i="13"/>
  <c r="V278" i="13"/>
  <c r="S290" i="13"/>
  <c r="V281" i="13"/>
  <c r="S293" i="13"/>
  <c r="U296" i="13"/>
  <c r="Q308" i="13"/>
  <c r="V299" i="13"/>
  <c r="S311" i="13"/>
  <c r="S280" i="13"/>
  <c r="V268" i="13"/>
  <c r="V297" i="13"/>
  <c r="S309" i="13"/>
  <c r="V291" i="13"/>
  <c r="S303" i="13"/>
  <c r="U290" i="13"/>
  <c r="Q302" i="13"/>
  <c r="V286" i="13"/>
  <c r="S298" i="13"/>
  <c r="V289" i="13"/>
  <c r="S301" i="13"/>
  <c r="Q279" i="13"/>
  <c r="U267" i="13"/>
  <c r="U298" i="13"/>
  <c r="Q310" i="13"/>
  <c r="U280" i="13"/>
  <c r="Q292" i="13"/>
  <c r="V283" i="13"/>
  <c r="S295" i="13"/>
  <c r="V284" i="13"/>
  <c r="S296" i="13"/>
  <c r="U288" i="13"/>
  <c r="Q300" i="13"/>
  <c r="U285" i="13"/>
  <c r="Q297" i="13"/>
  <c r="Q287" i="8"/>
  <c r="U275" i="8"/>
  <c r="V284" i="8"/>
  <c r="S296" i="8"/>
  <c r="Q294" i="8"/>
  <c r="U282" i="8"/>
  <c r="Q346" i="8"/>
  <c r="U334" i="8"/>
  <c r="S304" i="8"/>
  <c r="V292" i="8"/>
  <c r="Q290" i="8"/>
  <c r="U278" i="8"/>
  <c r="S295" i="8"/>
  <c r="V283" i="8"/>
  <c r="S287" i="8"/>
  <c r="V275" i="8"/>
  <c r="S290" i="8"/>
  <c r="V278" i="8"/>
  <c r="Q281" i="8"/>
  <c r="U269" i="8"/>
  <c r="U268" i="8"/>
  <c r="Q280" i="8"/>
  <c r="Q295" i="8"/>
  <c r="U283" i="8"/>
  <c r="S300" i="8"/>
  <c r="V288" i="8"/>
  <c r="Q289" i="8"/>
  <c r="U277" i="8"/>
  <c r="S282" i="8"/>
  <c r="V270" i="8"/>
  <c r="Q279" i="8"/>
  <c r="U267" i="8"/>
  <c r="U272" i="8"/>
  <c r="Q284" i="8"/>
  <c r="U288" i="8"/>
  <c r="Q300" i="8"/>
  <c r="S279" i="8"/>
  <c r="V267" i="8"/>
  <c r="S286" i="8"/>
  <c r="V274" i="8"/>
  <c r="V297" i="8"/>
  <c r="S309" i="8"/>
  <c r="Q309" i="8"/>
  <c r="U297" i="8"/>
  <c r="V298" i="13" l="1"/>
  <c r="S310" i="13"/>
  <c r="U300" i="13"/>
  <c r="Q312" i="13"/>
  <c r="V288" i="13"/>
  <c r="S300" i="13"/>
  <c r="V294" i="13"/>
  <c r="S306" i="13"/>
  <c r="V296" i="13"/>
  <c r="S308" i="13"/>
  <c r="V303" i="13"/>
  <c r="S315" i="13"/>
  <c r="U308" i="13"/>
  <c r="Q320" i="13"/>
  <c r="U293" i="13"/>
  <c r="Q305" i="13"/>
  <c r="U301" i="13"/>
  <c r="Q313" i="13"/>
  <c r="U297" i="13"/>
  <c r="Q309" i="13"/>
  <c r="V290" i="13"/>
  <c r="S302" i="13"/>
  <c r="V311" i="13"/>
  <c r="S323" i="13"/>
  <c r="U279" i="13"/>
  <c r="Q291" i="13"/>
  <c r="U292" i="13"/>
  <c r="Q304" i="13"/>
  <c r="V280" i="13"/>
  <c r="S292" i="13"/>
  <c r="U310" i="13"/>
  <c r="Q322" i="13"/>
  <c r="V295" i="13"/>
  <c r="S307" i="13"/>
  <c r="V301" i="13"/>
  <c r="S313" i="13"/>
  <c r="V309" i="13"/>
  <c r="S321" i="13"/>
  <c r="V293" i="13"/>
  <c r="S305" i="13"/>
  <c r="U295" i="13"/>
  <c r="Q307" i="13"/>
  <c r="U294" i="13"/>
  <c r="Q306" i="13"/>
  <c r="U302" i="13"/>
  <c r="Q314" i="13"/>
  <c r="U287" i="13"/>
  <c r="Q299" i="13"/>
  <c r="S308" i="8"/>
  <c r="V296" i="8"/>
  <c r="U287" i="8"/>
  <c r="Q299" i="8"/>
  <c r="Q302" i="8"/>
  <c r="U290" i="8"/>
  <c r="Q301" i="8"/>
  <c r="U289" i="8"/>
  <c r="U284" i="8"/>
  <c r="Q296" i="8"/>
  <c r="Q293" i="8"/>
  <c r="U281" i="8"/>
  <c r="S312" i="8"/>
  <c r="V300" i="8"/>
  <c r="S316" i="8"/>
  <c r="V304" i="8"/>
  <c r="S294" i="8"/>
  <c r="V282" i="8"/>
  <c r="U300" i="8"/>
  <c r="Q312" i="8"/>
  <c r="S298" i="8"/>
  <c r="V286" i="8"/>
  <c r="S302" i="8"/>
  <c r="V290" i="8"/>
  <c r="S291" i="8"/>
  <c r="V279" i="8"/>
  <c r="Q321" i="8"/>
  <c r="U309" i="8"/>
  <c r="Q291" i="8"/>
  <c r="U279" i="8"/>
  <c r="Q307" i="8"/>
  <c r="U295" i="8"/>
  <c r="S299" i="8"/>
  <c r="V287" i="8"/>
  <c r="Q358" i="8"/>
  <c r="U358" i="8" s="1"/>
  <c r="U346" i="8"/>
  <c r="S321" i="8"/>
  <c r="V309" i="8"/>
  <c r="U280" i="8"/>
  <c r="Q292" i="8"/>
  <c r="S307" i="8"/>
  <c r="V295" i="8"/>
  <c r="Q306" i="8"/>
  <c r="U294" i="8"/>
  <c r="V308" i="13" l="1"/>
  <c r="S320" i="13"/>
  <c r="V323" i="13"/>
  <c r="S335" i="13"/>
  <c r="V307" i="13"/>
  <c r="S319" i="13"/>
  <c r="V305" i="13"/>
  <c r="S317" i="13"/>
  <c r="V292" i="13"/>
  <c r="S304" i="13"/>
  <c r="V302" i="13"/>
  <c r="S314" i="13"/>
  <c r="U320" i="13"/>
  <c r="Q332" i="13"/>
  <c r="V300" i="13"/>
  <c r="S312" i="13"/>
  <c r="V310" i="13"/>
  <c r="S322" i="13"/>
  <c r="V306" i="13"/>
  <c r="S318" i="13"/>
  <c r="U314" i="13"/>
  <c r="Q326" i="13"/>
  <c r="U307" i="13"/>
  <c r="Q319" i="13"/>
  <c r="U313" i="13"/>
  <c r="Q325" i="13"/>
  <c r="U299" i="13"/>
  <c r="Q311" i="13"/>
  <c r="U305" i="13"/>
  <c r="Q317" i="13"/>
  <c r="V321" i="13"/>
  <c r="S333" i="13"/>
  <c r="U306" i="13"/>
  <c r="Q318" i="13"/>
  <c r="V313" i="13"/>
  <c r="S325" i="13"/>
  <c r="U304" i="13"/>
  <c r="Q316" i="13"/>
  <c r="U309" i="13"/>
  <c r="Q321" i="13"/>
  <c r="V315" i="13"/>
  <c r="S327" i="13"/>
  <c r="U312" i="13"/>
  <c r="Q324" i="13"/>
  <c r="U291" i="13"/>
  <c r="Q303" i="13"/>
  <c r="U322" i="13"/>
  <c r="Q334" i="13"/>
  <c r="V308" i="8"/>
  <c r="S320" i="8"/>
  <c r="Q311" i="8"/>
  <c r="U299" i="8"/>
  <c r="Q319" i="8"/>
  <c r="U307" i="8"/>
  <c r="S314" i="8"/>
  <c r="V302" i="8"/>
  <c r="S328" i="8"/>
  <c r="V316" i="8"/>
  <c r="Q313" i="8"/>
  <c r="U301" i="8"/>
  <c r="U292" i="8"/>
  <c r="Q304" i="8"/>
  <c r="S333" i="8"/>
  <c r="V321" i="8"/>
  <c r="Q303" i="8"/>
  <c r="U291" i="8"/>
  <c r="S310" i="8"/>
  <c r="V298" i="8"/>
  <c r="S324" i="8"/>
  <c r="V312" i="8"/>
  <c r="Q324" i="8"/>
  <c r="U312" i="8"/>
  <c r="Q318" i="8"/>
  <c r="U306" i="8"/>
  <c r="Q305" i="8"/>
  <c r="U293" i="8"/>
  <c r="Q308" i="8"/>
  <c r="U296" i="8"/>
  <c r="Q333" i="8"/>
  <c r="U321" i="8"/>
  <c r="Q314" i="8"/>
  <c r="U302" i="8"/>
  <c r="S319" i="8"/>
  <c r="V307" i="8"/>
  <c r="S311" i="8"/>
  <c r="V299" i="8"/>
  <c r="S303" i="8"/>
  <c r="V291" i="8"/>
  <c r="S306" i="8"/>
  <c r="V294" i="8"/>
  <c r="U319" i="13" l="1"/>
  <c r="Q331" i="13"/>
  <c r="U334" i="13"/>
  <c r="Q346" i="13"/>
  <c r="U317" i="13"/>
  <c r="Q329" i="13"/>
  <c r="U326" i="13"/>
  <c r="Q338" i="13"/>
  <c r="U332" i="13"/>
  <c r="Q344" i="13"/>
  <c r="V319" i="13"/>
  <c r="S331" i="13"/>
  <c r="V312" i="13"/>
  <c r="S324" i="13"/>
  <c r="U303" i="13"/>
  <c r="Q315" i="13"/>
  <c r="U321" i="13"/>
  <c r="Q333" i="13"/>
  <c r="U316" i="13"/>
  <c r="Q328" i="13"/>
  <c r="U324" i="13"/>
  <c r="Q336" i="13"/>
  <c r="V325" i="13"/>
  <c r="S337" i="13"/>
  <c r="U311" i="13"/>
  <c r="Q323" i="13"/>
  <c r="V318" i="13"/>
  <c r="S330" i="13"/>
  <c r="V314" i="13"/>
  <c r="S326" i="13"/>
  <c r="V335" i="13"/>
  <c r="S347" i="13"/>
  <c r="V317" i="13"/>
  <c r="S329" i="13"/>
  <c r="V327" i="13"/>
  <c r="S339" i="13"/>
  <c r="U318" i="13"/>
  <c r="Q330" i="13"/>
  <c r="U325" i="13"/>
  <c r="Q337" i="13"/>
  <c r="V322" i="13"/>
  <c r="S334" i="13"/>
  <c r="V304" i="13"/>
  <c r="S316" i="13"/>
  <c r="V320" i="13"/>
  <c r="S332" i="13"/>
  <c r="V333" i="13"/>
  <c r="S345" i="13"/>
  <c r="U311" i="8"/>
  <c r="Q323" i="8"/>
  <c r="S332" i="8"/>
  <c r="V320" i="8"/>
  <c r="Q330" i="8"/>
  <c r="U318" i="8"/>
  <c r="Q336" i="8"/>
  <c r="U324" i="8"/>
  <c r="Q315" i="8"/>
  <c r="U303" i="8"/>
  <c r="S340" i="8"/>
  <c r="V328" i="8"/>
  <c r="Q326" i="8"/>
  <c r="U314" i="8"/>
  <c r="S318" i="8"/>
  <c r="V306" i="8"/>
  <c r="S322" i="8"/>
  <c r="V310" i="8"/>
  <c r="Q345" i="8"/>
  <c r="U333" i="8"/>
  <c r="S323" i="8"/>
  <c r="V311" i="8"/>
  <c r="S345" i="8"/>
  <c r="V333" i="8"/>
  <c r="Q316" i="8"/>
  <c r="U304" i="8"/>
  <c r="Q325" i="8"/>
  <c r="U313" i="8"/>
  <c r="S315" i="8"/>
  <c r="V303" i="8"/>
  <c r="Q320" i="8"/>
  <c r="U308" i="8"/>
  <c r="S326" i="8"/>
  <c r="V314" i="8"/>
  <c r="S331" i="8"/>
  <c r="V319" i="8"/>
  <c r="Q317" i="8"/>
  <c r="U305" i="8"/>
  <c r="S336" i="8"/>
  <c r="V324" i="8"/>
  <c r="Q331" i="8"/>
  <c r="U319" i="8"/>
  <c r="V347" i="13" l="1"/>
  <c r="S359" i="13"/>
  <c r="V359" i="13" s="1"/>
  <c r="U330" i="13"/>
  <c r="Q342" i="13"/>
  <c r="V324" i="13"/>
  <c r="S336" i="13"/>
  <c r="U329" i="13"/>
  <c r="Q341" i="13"/>
  <c r="U338" i="13"/>
  <c r="Q350" i="13"/>
  <c r="U350" i="13" s="1"/>
  <c r="V326" i="13"/>
  <c r="S338" i="13"/>
  <c r="U337" i="13"/>
  <c r="Q349" i="13"/>
  <c r="V316" i="13"/>
  <c r="S328" i="13"/>
  <c r="V339" i="13"/>
  <c r="S351" i="13"/>
  <c r="V351" i="13" s="1"/>
  <c r="V330" i="13"/>
  <c r="S342" i="13"/>
  <c r="U328" i="13"/>
  <c r="Q340" i="13"/>
  <c r="V331" i="13"/>
  <c r="S343" i="13"/>
  <c r="U346" i="13"/>
  <c r="Q358" i="13"/>
  <c r="U358" i="13" s="1"/>
  <c r="V345" i="13"/>
  <c r="S357" i="13"/>
  <c r="V357" i="13" s="1"/>
  <c r="U315" i="13"/>
  <c r="Q327" i="13"/>
  <c r="V332" i="13"/>
  <c r="S344" i="13"/>
  <c r="V337" i="13"/>
  <c r="S349" i="13"/>
  <c r="U336" i="13"/>
  <c r="Q348" i="13"/>
  <c r="V334" i="13"/>
  <c r="S346" i="13"/>
  <c r="V329" i="13"/>
  <c r="S341" i="13"/>
  <c r="U323" i="13"/>
  <c r="Q335" i="13"/>
  <c r="U333" i="13"/>
  <c r="Q345" i="13"/>
  <c r="U344" i="13"/>
  <c r="Q356" i="13"/>
  <c r="U356" i="13" s="1"/>
  <c r="U331" i="13"/>
  <c r="Q343" i="13"/>
  <c r="V332" i="8"/>
  <c r="S344" i="8"/>
  <c r="U323" i="8"/>
  <c r="Q335" i="8"/>
  <c r="Q337" i="8"/>
  <c r="U325" i="8"/>
  <c r="Q357" i="8"/>
  <c r="U357" i="8" s="1"/>
  <c r="U345" i="8"/>
  <c r="S352" i="8"/>
  <c r="V352" i="8" s="1"/>
  <c r="V340" i="8"/>
  <c r="Q328" i="8"/>
  <c r="U316" i="8"/>
  <c r="S334" i="8"/>
  <c r="V322" i="8"/>
  <c r="Q327" i="8"/>
  <c r="U315" i="8"/>
  <c r="Q343" i="8"/>
  <c r="U331" i="8"/>
  <c r="S348" i="8"/>
  <c r="V336" i="8"/>
  <c r="S338" i="8"/>
  <c r="V326" i="8"/>
  <c r="Q329" i="8"/>
  <c r="U317" i="8"/>
  <c r="Q332" i="8"/>
  <c r="U320" i="8"/>
  <c r="S357" i="8"/>
  <c r="V357" i="8" s="1"/>
  <c r="V345" i="8"/>
  <c r="S330" i="8"/>
  <c r="V318" i="8"/>
  <c r="Q348" i="8"/>
  <c r="U336" i="8"/>
  <c r="S343" i="8"/>
  <c r="V331" i="8"/>
  <c r="S327" i="8"/>
  <c r="V315" i="8"/>
  <c r="S335" i="8"/>
  <c r="V323" i="8"/>
  <c r="Q338" i="8"/>
  <c r="U326" i="8"/>
  <c r="Q342" i="8"/>
  <c r="U330" i="8"/>
  <c r="U343" i="13" l="1"/>
  <c r="Q355" i="13"/>
  <c r="U355" i="13" s="1"/>
  <c r="V344" i="13"/>
  <c r="S356" i="13"/>
  <c r="V356" i="13" s="1"/>
  <c r="U327" i="13"/>
  <c r="Q339" i="13"/>
  <c r="U340" i="13"/>
  <c r="Q352" i="13"/>
  <c r="U352" i="13" s="1"/>
  <c r="U349" i="13"/>
  <c r="Q361" i="13"/>
  <c r="U361" i="13" s="1"/>
  <c r="V336" i="13"/>
  <c r="S348" i="13"/>
  <c r="U341" i="13"/>
  <c r="Q353" i="13"/>
  <c r="U353" i="13" s="1"/>
  <c r="U335" i="13"/>
  <c r="Q347" i="13"/>
  <c r="V349" i="13"/>
  <c r="S361" i="13"/>
  <c r="V361" i="13" s="1"/>
  <c r="V341" i="13"/>
  <c r="S353" i="13"/>
  <c r="V353" i="13" s="1"/>
  <c r="V343" i="13"/>
  <c r="S355" i="13"/>
  <c r="V355" i="13" s="1"/>
  <c r="V346" i="13"/>
  <c r="S358" i="13"/>
  <c r="V358" i="13" s="1"/>
  <c r="U345" i="13"/>
  <c r="Q357" i="13"/>
  <c r="U357" i="13" s="1"/>
  <c r="U348" i="13"/>
  <c r="Q360" i="13"/>
  <c r="U360" i="13" s="1"/>
  <c r="V342" i="13"/>
  <c r="S354" i="13"/>
  <c r="V354" i="13" s="1"/>
  <c r="V338" i="13"/>
  <c r="S350" i="13"/>
  <c r="V350" i="13" s="1"/>
  <c r="U342" i="13"/>
  <c r="Q354" i="13"/>
  <c r="U354" i="13" s="1"/>
  <c r="V328" i="13"/>
  <c r="S340" i="13"/>
  <c r="Q347" i="8"/>
  <c r="U335" i="8"/>
  <c r="S356" i="8"/>
  <c r="V356" i="8" s="1"/>
  <c r="V344" i="8"/>
  <c r="S355" i="8"/>
  <c r="V355" i="8" s="1"/>
  <c r="V343" i="8"/>
  <c r="Q360" i="8"/>
  <c r="U360" i="8" s="1"/>
  <c r="U348" i="8"/>
  <c r="Q344" i="8"/>
  <c r="U332" i="8"/>
  <c r="Q350" i="8"/>
  <c r="U350" i="8" s="1"/>
  <c r="U338" i="8"/>
  <c r="Q339" i="8"/>
  <c r="U327" i="8"/>
  <c r="S347" i="8"/>
  <c r="V335" i="8"/>
  <c r="Q354" i="8"/>
  <c r="U354" i="8" s="1"/>
  <c r="U342" i="8"/>
  <c r="Q355" i="8"/>
  <c r="U355" i="8" s="1"/>
  <c r="U343" i="8"/>
  <c r="S350" i="8"/>
  <c r="V350" i="8" s="1"/>
  <c r="V338" i="8"/>
  <c r="Q341" i="8"/>
  <c r="U329" i="8"/>
  <c r="S342" i="8"/>
  <c r="V330" i="8"/>
  <c r="S346" i="8"/>
  <c r="V334" i="8"/>
  <c r="Q349" i="8"/>
  <c r="U337" i="8"/>
  <c r="S339" i="8"/>
  <c r="V327" i="8"/>
  <c r="S360" i="8"/>
  <c r="V360" i="8" s="1"/>
  <c r="V348" i="8"/>
  <c r="Q340" i="8"/>
  <c r="U328" i="8"/>
  <c r="U339" i="13" l="1"/>
  <c r="Q351" i="13"/>
  <c r="U351" i="13" s="1"/>
  <c r="V340" i="13"/>
  <c r="S352" i="13"/>
  <c r="V352" i="13" s="1"/>
  <c r="V348" i="13"/>
  <c r="S360" i="13"/>
  <c r="V360" i="13" s="1"/>
  <c r="U347" i="13"/>
  <c r="Q359" i="13"/>
  <c r="U359" i="13" s="1"/>
  <c r="U347" i="8"/>
  <c r="Q359" i="8"/>
  <c r="U359" i="8" s="1"/>
  <c r="S354" i="8"/>
  <c r="V354" i="8" s="1"/>
  <c r="V342" i="8"/>
  <c r="Q356" i="8"/>
  <c r="U356" i="8" s="1"/>
  <c r="U344" i="8"/>
  <c r="Q352" i="8"/>
  <c r="U352" i="8" s="1"/>
  <c r="U340" i="8"/>
  <c r="S358" i="8"/>
  <c r="V358" i="8" s="1"/>
  <c r="V346" i="8"/>
  <c r="Q353" i="8"/>
  <c r="U353" i="8" s="1"/>
  <c r="U341" i="8"/>
  <c r="S351" i="8"/>
  <c r="V351" i="8" s="1"/>
  <c r="V339" i="8"/>
  <c r="S359" i="8"/>
  <c r="V359" i="8" s="1"/>
  <c r="V347" i="8"/>
  <c r="Q361" i="8"/>
  <c r="U361" i="8" s="1"/>
  <c r="U349" i="8"/>
  <c r="Q351" i="8"/>
  <c r="U351" i="8" s="1"/>
  <c r="U339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<sst xmlns="http://schemas.openxmlformats.org/spreadsheetml/2006/main" count="1855" uniqueCount="451">
  <si>
    <t>Out to Out Width</t>
  </si>
  <si>
    <t>Out to Out Length</t>
  </si>
  <si>
    <t>Skew Angle</t>
  </si>
  <si>
    <t>Longitudinal Reiforcement (Top)</t>
  </si>
  <si>
    <t>Transverse Reinforcement (Top)</t>
  </si>
  <si>
    <t>Spacing</t>
  </si>
  <si>
    <t>Longitudinal Reiforcement (Bottom)</t>
  </si>
  <si>
    <t>No. of Bars</t>
  </si>
  <si>
    <t>Total Length</t>
  </si>
  <si>
    <t>Span</t>
  </si>
  <si>
    <t>Thickness</t>
  </si>
  <si>
    <t>A</t>
  </si>
  <si>
    <t>B</t>
  </si>
  <si>
    <t>C</t>
  </si>
  <si>
    <t>D</t>
  </si>
  <si>
    <t>WeightA</t>
  </si>
  <si>
    <t>WeightB</t>
  </si>
  <si>
    <t>Bar (#)</t>
  </si>
  <si>
    <t>Longitudinal Reiforcement (Bottom) ("A" Bars)</t>
  </si>
  <si>
    <t>Transverse Reinforcement (Bottom) ("C" Bars)</t>
  </si>
  <si>
    <t xml:space="preserve">Table Span Value </t>
  </si>
  <si>
    <t>Bar Length</t>
  </si>
  <si>
    <t xml:space="preserve">Total Steel </t>
  </si>
  <si>
    <t>Weight (lbs)</t>
  </si>
  <si>
    <t>Slab Thickness (in)</t>
  </si>
  <si>
    <t>Reiforcement</t>
  </si>
  <si>
    <t>Standard Weight per Linear Foot Reinforcing Steel</t>
  </si>
  <si>
    <t xml:space="preserve">Bar No. </t>
  </si>
  <si>
    <t>Weight per LF</t>
  </si>
  <si>
    <t>Units</t>
  </si>
  <si>
    <t>Class AA Concrete</t>
  </si>
  <si>
    <t>QTY</t>
  </si>
  <si>
    <t>CY</t>
  </si>
  <si>
    <t xml:space="preserve">Item </t>
  </si>
  <si>
    <t xml:space="preserve">Unit Price </t>
  </si>
  <si>
    <t xml:space="preserve">Cost </t>
  </si>
  <si>
    <t>Epoxy Coated Steel Reinforcement</t>
  </si>
  <si>
    <t>lbs</t>
  </si>
  <si>
    <t>Armored Edge</t>
  </si>
  <si>
    <t>Railing System Type II</t>
  </si>
  <si>
    <t>LF</t>
  </si>
  <si>
    <t>Structure Excavation Common</t>
  </si>
  <si>
    <t>Foundation Preparation</t>
  </si>
  <si>
    <t>Slab Bridge Dimensions</t>
  </si>
  <si>
    <t>Slab Thickness (in) (From Table)</t>
  </si>
  <si>
    <t>Reinforcement Calculations based on StD BSP-013</t>
  </si>
  <si>
    <t>From Standard Drawing BSP-013</t>
  </si>
  <si>
    <t>LUMP</t>
  </si>
  <si>
    <t xml:space="preserve">Total Cost </t>
  </si>
  <si>
    <t>Box Beam Dimensions</t>
  </si>
  <si>
    <t>CB12</t>
  </si>
  <si>
    <t>CB17</t>
  </si>
  <si>
    <t>CB21</t>
  </si>
  <si>
    <t>CB33</t>
  </si>
  <si>
    <t>CB42</t>
  </si>
  <si>
    <t>B12</t>
  </si>
  <si>
    <t>B17</t>
  </si>
  <si>
    <t>B21</t>
  </si>
  <si>
    <t>B33</t>
  </si>
  <si>
    <t>B42</t>
  </si>
  <si>
    <t>Box Beam Type</t>
  </si>
  <si>
    <t>Number of Beams</t>
  </si>
  <si>
    <t>Out to Out Box Beam Width</t>
  </si>
  <si>
    <t xml:space="preserve">Notes </t>
  </si>
  <si>
    <t>Waterproof Membrane</t>
  </si>
  <si>
    <t>Asphalt Overlay</t>
  </si>
  <si>
    <t>SF</t>
  </si>
  <si>
    <t>Tons</t>
  </si>
  <si>
    <t xml:space="preserve">For Non-Composite Box Beam Only </t>
  </si>
  <si>
    <t>SY</t>
  </si>
  <si>
    <t>Non-Composite Steel Dimensions</t>
  </si>
  <si>
    <t>Type T631 Guardrail</t>
  </si>
  <si>
    <t xml:space="preserve">Transverse Reinforcement (Bottom) </t>
  </si>
  <si>
    <t>Intermediate Diaphragms (LF)</t>
  </si>
  <si>
    <t>C7x9.8 (Intermediate Diaphragm)</t>
  </si>
  <si>
    <t>Composite Steel Dimensions</t>
  </si>
  <si>
    <t>TON</t>
  </si>
  <si>
    <t>16" Pipe Piles (No. of Piles) (Alternate Item)</t>
  </si>
  <si>
    <r>
      <t>Beam Specification</t>
    </r>
    <r>
      <rPr>
        <i/>
        <sz val="11"/>
        <color theme="1"/>
        <rFont val="Aptos Narrow"/>
        <family val="2"/>
        <scheme val="minor"/>
      </rPr>
      <t xml:space="preserve"> (select from dropdown)</t>
    </r>
  </si>
  <si>
    <t xml:space="preserve">Skew Width </t>
  </si>
  <si>
    <t>Skew Length</t>
  </si>
  <si>
    <t>Beam Height</t>
  </si>
  <si>
    <t>Estimate of Steel Quantities (BSB-103) (lbs)</t>
  </si>
  <si>
    <t>Reinforcement Calculations based on BSP-013</t>
  </si>
  <si>
    <t>LBS</t>
  </si>
  <si>
    <t>Assumes 9" overhang and 4' beam spacing</t>
  </si>
  <si>
    <t>Notes</t>
  </si>
  <si>
    <t>Cyclopean Stone Rip Rap with Geotextile Fabric (If Applicable)</t>
  </si>
  <si>
    <t xml:space="preserve">Deck Type </t>
  </si>
  <si>
    <t>8" Conc. Slab</t>
  </si>
  <si>
    <t>Span (ft)</t>
  </si>
  <si>
    <t>Out to Out Width (ft)</t>
  </si>
  <si>
    <t>Out to Out Length (ft)</t>
  </si>
  <si>
    <t>Transverse Width (ft)</t>
  </si>
  <si>
    <t>Transverse Length (ft)</t>
  </si>
  <si>
    <t>Steel Grid</t>
  </si>
  <si>
    <t>Slab Thickness (in) (BSB-003)</t>
  </si>
  <si>
    <t>Reinforcement Calculations based on BSP-003</t>
  </si>
  <si>
    <t>Bar #</t>
  </si>
  <si>
    <t>Spacing (in)</t>
  </si>
  <si>
    <t>Length (ft)</t>
  </si>
  <si>
    <t>Rounds span length up to match next highest table value</t>
  </si>
  <si>
    <t>Assumes Span = Length - 1'</t>
  </si>
  <si>
    <t xml:space="preserve">Rounds O-O width up to 4 ft intervals </t>
  </si>
  <si>
    <t>beam depth x beam depth x skew Width</t>
  </si>
  <si>
    <t>slab thick x slab thick x skew width x 2</t>
  </si>
  <si>
    <t>Box Beam Cost Estimate</t>
  </si>
  <si>
    <r>
      <t>Reinforcement Calculations based on StD BSP-013</t>
    </r>
    <r>
      <rPr>
        <i/>
        <sz val="11"/>
        <color rgb="FF0033A0"/>
        <rFont val="Aptos Narrow"/>
        <family val="2"/>
        <scheme val="minor"/>
      </rPr>
      <t xml:space="preserve"> (Composite Box Beam Only)</t>
    </r>
  </si>
  <si>
    <t>CY1</t>
  </si>
  <si>
    <t>CY2</t>
  </si>
  <si>
    <t>St1</t>
  </si>
  <si>
    <t>St2</t>
  </si>
  <si>
    <t>H</t>
  </si>
  <si>
    <t>Skew/Wing</t>
  </si>
  <si>
    <t>05_50</t>
  </si>
  <si>
    <t>10_50</t>
  </si>
  <si>
    <t>00_50</t>
  </si>
  <si>
    <t>15_50</t>
  </si>
  <si>
    <t>20_50</t>
  </si>
  <si>
    <t>25_50</t>
  </si>
  <si>
    <t>30_50</t>
  </si>
  <si>
    <t>35_50</t>
  </si>
  <si>
    <t>40_50</t>
  </si>
  <si>
    <t>45_50</t>
  </si>
  <si>
    <t>00_25</t>
  </si>
  <si>
    <t>05_25</t>
  </si>
  <si>
    <t>10_25</t>
  </si>
  <si>
    <t>15_25</t>
  </si>
  <si>
    <t>20_25</t>
  </si>
  <si>
    <t>25_25</t>
  </si>
  <si>
    <t>30_25</t>
  </si>
  <si>
    <t>35_25</t>
  </si>
  <si>
    <t>40_25</t>
  </si>
  <si>
    <t>45_25</t>
  </si>
  <si>
    <t>00_00</t>
  </si>
  <si>
    <t>05_00</t>
  </si>
  <si>
    <t>10_00</t>
  </si>
  <si>
    <t>15_00</t>
  </si>
  <si>
    <t>20_00</t>
  </si>
  <si>
    <t>25_00</t>
  </si>
  <si>
    <t>30_00</t>
  </si>
  <si>
    <t>35_00</t>
  </si>
  <si>
    <t>40_00</t>
  </si>
  <si>
    <t>45_00</t>
  </si>
  <si>
    <t>SCF</t>
  </si>
  <si>
    <t>Wing Wall</t>
  </si>
  <si>
    <t>Parallel</t>
  </si>
  <si>
    <t>Stone Rip Rap with Geotextile Fabric (If Applicable)</t>
  </si>
  <si>
    <t>Skew</t>
  </si>
  <si>
    <t xml:space="preserve">Skew Angle </t>
  </si>
  <si>
    <t xml:space="preserve">Wing Angle </t>
  </si>
  <si>
    <t>Skew_Wing_H Code</t>
  </si>
  <si>
    <t>SWH</t>
  </si>
  <si>
    <t>Adjusted Height (ft)</t>
  </si>
  <si>
    <t>Lookup vale to be hidden</t>
  </si>
  <si>
    <t>Wing Wall Skew (Degrees)</t>
  </si>
  <si>
    <t>Skew Angle (Degrees)</t>
  </si>
  <si>
    <t>Adjusts height to match table values</t>
  </si>
  <si>
    <t>LBs</t>
  </si>
  <si>
    <t>Bridge Dimensions</t>
  </si>
  <si>
    <t>Beam Height (in)</t>
  </si>
  <si>
    <t xml:space="preserve">H Value </t>
  </si>
  <si>
    <t xml:space="preserve">Nominal Bridge Width </t>
  </si>
  <si>
    <t>Rounds up Bridge Width to 16, 24, or 32. "Error" if &gt; 32 ft</t>
  </si>
  <si>
    <t>"Error" if greater than 50"</t>
  </si>
  <si>
    <t>W</t>
  </si>
  <si>
    <t>Piles</t>
  </si>
  <si>
    <t>H1</t>
  </si>
  <si>
    <t>H2</t>
  </si>
  <si>
    <t>H3</t>
  </si>
  <si>
    <t>Depth (End Bent to Bed Rock)</t>
  </si>
  <si>
    <t>lookup value; to be hidden</t>
  </si>
  <si>
    <t>SWH Code</t>
  </si>
  <si>
    <t>S_W_H Code</t>
  </si>
  <si>
    <t>to be hidden</t>
  </si>
  <si>
    <t>Steel Grid Deck (Alternate Item)</t>
  </si>
  <si>
    <t>Depth</t>
  </si>
  <si>
    <t>W24x229</t>
  </si>
  <si>
    <t>W16x77</t>
  </si>
  <si>
    <t>W14x82</t>
  </si>
  <si>
    <t>W12x106</t>
  </si>
  <si>
    <t>W24x62</t>
  </si>
  <si>
    <t>W21x62</t>
  </si>
  <si>
    <t>W18x71</t>
  </si>
  <si>
    <t>W24x76</t>
  </si>
  <si>
    <t>W21x83</t>
  </si>
  <si>
    <t>W18x86</t>
  </si>
  <si>
    <t>W16x100</t>
  </si>
  <si>
    <t>W14x120</t>
  </si>
  <si>
    <t>W12x120</t>
  </si>
  <si>
    <t>W27x84</t>
  </si>
  <si>
    <t>W24x94</t>
  </si>
  <si>
    <t>W21x101</t>
  </si>
  <si>
    <t>W14x132</t>
  </si>
  <si>
    <t>W12x152</t>
  </si>
  <si>
    <t>W30x99</t>
  </si>
  <si>
    <t>W27x102</t>
  </si>
  <si>
    <t>W21x122</t>
  </si>
  <si>
    <t>W18x130</t>
  </si>
  <si>
    <t>W14x176</t>
  </si>
  <si>
    <t>W12x190</t>
  </si>
  <si>
    <t>W33x118</t>
  </si>
  <si>
    <t>W30x 116</t>
  </si>
  <si>
    <t>W27x129</t>
  </si>
  <si>
    <t>W24x131</t>
  </si>
  <si>
    <t>W21x147</t>
  </si>
  <si>
    <t>W18x158</t>
  </si>
  <si>
    <t>W33x130</t>
  </si>
  <si>
    <t>W30x132</t>
  </si>
  <si>
    <t>W27x146</t>
  </si>
  <si>
    <t>W24x162</t>
  </si>
  <si>
    <t>WJ8x192</t>
  </si>
  <si>
    <t>W36x135</t>
  </si>
  <si>
    <t>W33x141</t>
  </si>
  <si>
    <t>W30x148</t>
  </si>
  <si>
    <t>W27x178</t>
  </si>
  <si>
    <t>W24x192</t>
  </si>
  <si>
    <t>W21x223</t>
  </si>
  <si>
    <t>W18x258</t>
  </si>
  <si>
    <t>W36x150</t>
  </si>
  <si>
    <t>W33x169</t>
  </si>
  <si>
    <t>W30x173</t>
  </si>
  <si>
    <t>W27x194</t>
  </si>
  <si>
    <t>Max Span</t>
  </si>
  <si>
    <t>Beam</t>
  </si>
  <si>
    <t>Weight/LF</t>
  </si>
  <si>
    <t>W24x117</t>
  </si>
  <si>
    <t>W18x119</t>
  </si>
  <si>
    <t>W2x182</t>
  </si>
  <si>
    <t>Beam Type</t>
  </si>
  <si>
    <t>W18x55</t>
  </si>
  <si>
    <t>Beam Weight per Foot</t>
  </si>
  <si>
    <t>W24x103</t>
  </si>
  <si>
    <t>W21x166</t>
  </si>
  <si>
    <t>W36x160</t>
  </si>
  <si>
    <t>W10x77</t>
  </si>
  <si>
    <t>W12x58</t>
  </si>
  <si>
    <t>W14x53</t>
  </si>
  <si>
    <t>W16x50</t>
  </si>
  <si>
    <t>W18x50</t>
  </si>
  <si>
    <t>W12x79</t>
  </si>
  <si>
    <t>W14x74</t>
  </si>
  <si>
    <t>W16x67</t>
  </si>
  <si>
    <t>W18x65</t>
  </si>
  <si>
    <t>W14x99</t>
  </si>
  <si>
    <t>W16x89</t>
  </si>
  <si>
    <t>W18x76</t>
  </si>
  <si>
    <t>W21x93</t>
  </si>
  <si>
    <t>W14x145</t>
  </si>
  <si>
    <t>W18x97</t>
  </si>
  <si>
    <t>W18x143</t>
  </si>
  <si>
    <t>W18x192</t>
  </si>
  <si>
    <t>W24x146</t>
  </si>
  <si>
    <t>W33x152</t>
  </si>
  <si>
    <t>W33x201</t>
  </si>
  <si>
    <t>W36x194</t>
  </si>
  <si>
    <t>W110x100</t>
  </si>
  <si>
    <t>Composite Beam Table</t>
  </si>
  <si>
    <t>Non-Composite Beam Table</t>
  </si>
  <si>
    <t>Out to Out Adjusted Width (ft)</t>
  </si>
  <si>
    <t>Assumes Span = O-O Length - 1'</t>
  </si>
  <si>
    <t>Span Length (ft)</t>
  </si>
  <si>
    <t>Length must be in 2 ft intervals</t>
  </si>
  <si>
    <t>Width Must be in 4 ft intervals</t>
  </si>
  <si>
    <t>Pier Height</t>
  </si>
  <si>
    <t xml:space="preserve">Height </t>
  </si>
  <si>
    <t>10-11</t>
  </si>
  <si>
    <t>14-15</t>
  </si>
  <si>
    <t>12-13</t>
  </si>
  <si>
    <t>16-17</t>
  </si>
  <si>
    <t>19-19</t>
  </si>
  <si>
    <t>20-21</t>
  </si>
  <si>
    <t>22-23</t>
  </si>
  <si>
    <t>24-25</t>
  </si>
  <si>
    <t>LBS(e)</t>
  </si>
  <si>
    <t>Steel Reinforcement</t>
  </si>
  <si>
    <t>H Value</t>
  </si>
  <si>
    <t>Note: Standard Piers  are designed for side by side box beams as detailed in Standard Drawings BDP-001 through BDP-012.</t>
  </si>
  <si>
    <t xml:space="preserve">Required Standard Drawings </t>
  </si>
  <si>
    <t>BDP-005 Railing System Type II Details</t>
  </si>
  <si>
    <t>Sepia 001 Railing System Type II Guardrail Treatment</t>
  </si>
  <si>
    <t>BJE-001 Neoprene Expansion Dams and Armored Edges</t>
  </si>
  <si>
    <t>BDP-013 Slab Bridge Details</t>
  </si>
  <si>
    <t>General Notes and Details</t>
  </si>
  <si>
    <t>BDP-001 Box Beam General Notes and References</t>
  </si>
  <si>
    <t>BDP-002 Box Beam Bearing Details</t>
  </si>
  <si>
    <t>BDP-003 Box Beam Miscellaneous Details</t>
  </si>
  <si>
    <t>BDP-004 Box Beam Tension Rod Details</t>
  </si>
  <si>
    <t>BBP-003 Elastomeric Bearing Pads for Box Beams</t>
  </si>
  <si>
    <t>BDP-012 Box Beam CB42 Details</t>
  </si>
  <si>
    <t>BDP-006 Box Beam B12 and CB12 Details</t>
  </si>
  <si>
    <t>BDP-007 Box Beam B17 and CB17 Details</t>
  </si>
  <si>
    <t>BDP-008 Box Beam B21 and CB21 Details</t>
  </si>
  <si>
    <t>BDP-009 Box Beam B27 and CB27 Details</t>
  </si>
  <si>
    <t>BDP-010 Box Beam B33 and CB33 Details</t>
  </si>
  <si>
    <t>BDP-011 Box Beam B42 Details</t>
  </si>
  <si>
    <t>CB27</t>
  </si>
  <si>
    <t>B27</t>
  </si>
  <si>
    <t>Miscellaneous Items</t>
  </si>
  <si>
    <t>BSB-006 Rolled Steel Diaphragm Details</t>
  </si>
  <si>
    <t>BSB-005 Rolled Steel Diaphragm Details</t>
  </si>
  <si>
    <t>BSB-004 Rolled Steel Diaphragm Details</t>
  </si>
  <si>
    <t>BSB-003 Slab and End Diaphragm Details</t>
  </si>
  <si>
    <t>BSB-002 KYHL-93 Beam Standards</t>
  </si>
  <si>
    <t>BHS-012 Railing System Type T631 Details</t>
  </si>
  <si>
    <t xml:space="preserve">Miscellaneous </t>
  </si>
  <si>
    <t>BSB-101 Composite Steel Beam General Notes</t>
  </si>
  <si>
    <t>BSB-102 Composite Steel Beam Tables</t>
  </si>
  <si>
    <t>BSB-103 Composite Steel Beam Slab Details</t>
  </si>
  <si>
    <t>BSB-104 Composite Steel Beam Framing Plan</t>
  </si>
  <si>
    <t>BSB-105 Rolled Steel Diaphragm Details</t>
  </si>
  <si>
    <t>BSE-001 Pile End Bent 0° Skew</t>
  </si>
  <si>
    <t>BSE-002 Pile end Bent 15° Skew</t>
  </si>
  <si>
    <t>BSE-003 Pile End Bent 30° Skew</t>
  </si>
  <si>
    <t>BSE-004 Pile End Bent 45° Skew</t>
  </si>
  <si>
    <t xml:space="preserve">Pile Type </t>
  </si>
  <si>
    <t>Pile Type</t>
  </si>
  <si>
    <t>HP12X53</t>
  </si>
  <si>
    <t>BPS-003 HP12x53 Steel Pile</t>
  </si>
  <si>
    <t>BPS-012 Pipe Pile 16 Inch</t>
  </si>
  <si>
    <t xml:space="preserve">16-inch Pipe </t>
  </si>
  <si>
    <t>Std Drawing</t>
  </si>
  <si>
    <t>Skew Wing Code</t>
  </si>
  <si>
    <t xml:space="preserve">Bridge Width </t>
  </si>
  <si>
    <t xml:space="preserve">Skew </t>
  </si>
  <si>
    <t xml:space="preserve">Lookup Value </t>
  </si>
  <si>
    <t>Lookup</t>
  </si>
  <si>
    <t>StdDrawing</t>
  </si>
  <si>
    <t>BSP-002 Standard Pier 0° Skew 24'-0"-25-6" Bridge Width</t>
  </si>
  <si>
    <t>BSP-001 Standard Pier 0° Skew 16'-0"-17'-6" Bridge Width</t>
  </si>
  <si>
    <t>BSP-003 Standard Pier 0° Slew 32'-0"-33'-6" Bridge Width</t>
  </si>
  <si>
    <t>BSP-004 Standard Pier 15° Skew 16'-0"-17'-6" Bridge Width</t>
  </si>
  <si>
    <t>BSP-005 Standard Pier 15° Skew 24'-0"-25'-6" Bridge Width</t>
  </si>
  <si>
    <t>BSP-006 Standard Pier 15° Skew 32'-0"-33'-6" Bridge Width</t>
  </si>
  <si>
    <t>BSP-007 Standard Pier 30° Skew 16'-0"-17'-6" Bridge Width</t>
  </si>
  <si>
    <t>BSP-008 Standard Pier 30° Skew 24'-0"-25'-6" Bridge Width</t>
  </si>
  <si>
    <t>BSP-009 Standard Pier 30° Skew 32'-0"-33'6" Bridge Width</t>
  </si>
  <si>
    <t>BSP-010 Standard Pier 45° Skew 16'-0"-17'6" Bridge Width</t>
  </si>
  <si>
    <t>BSP-011 Standard Pier 45° Skew 24'-0"-25'-6" Bridge Width</t>
  </si>
  <si>
    <t>BSP-012 Standard Pier 45° Skew 32'-0"-33'-6" Bridge Width</t>
  </si>
  <si>
    <t>01</t>
  </si>
  <si>
    <t>02</t>
  </si>
  <si>
    <t>03</t>
  </si>
  <si>
    <t>151</t>
  </si>
  <si>
    <t>152</t>
  </si>
  <si>
    <t>153</t>
  </si>
  <si>
    <t>301</t>
  </si>
  <si>
    <t>302</t>
  </si>
  <si>
    <t>303</t>
  </si>
  <si>
    <t>451</t>
  </si>
  <si>
    <t>452</t>
  </si>
  <si>
    <t>453</t>
  </si>
  <si>
    <t>Sk_W</t>
  </si>
  <si>
    <t xml:space="preserve">Bridge ID </t>
  </si>
  <si>
    <t xml:space="preserve">Road Name </t>
  </si>
  <si>
    <t xml:space="preserve">Road No. </t>
  </si>
  <si>
    <t xml:space="preserve">Crossing </t>
  </si>
  <si>
    <t xml:space="preserve">County/City Bridge Replacement Information Summary </t>
  </si>
  <si>
    <t>Dimension</t>
  </si>
  <si>
    <t>Slab</t>
  </si>
  <si>
    <t>Box Beam</t>
  </si>
  <si>
    <t xml:space="preserve">Desired </t>
  </si>
  <si>
    <t>Class A Concrete</t>
  </si>
  <si>
    <t xml:space="preserve">Number of Spans </t>
  </si>
  <si>
    <t>Improvement Type</t>
  </si>
  <si>
    <t>Full Replacement</t>
  </si>
  <si>
    <t>Superstructure Replacement</t>
  </si>
  <si>
    <t>Bridge Type</t>
  </si>
  <si>
    <t xml:space="preserve">1. Beam Type is selected based on lowest cost feasible beam.  This value may be adjusted in the individual worksheet tabs for each bridge type. </t>
  </si>
  <si>
    <t>Notes:</t>
  </si>
  <si>
    <r>
      <t>Beam Type</t>
    </r>
    <r>
      <rPr>
        <vertAlign val="superscript"/>
        <sz val="11"/>
        <color theme="1"/>
        <rFont val="Aptos Narrow"/>
        <family val="2"/>
        <scheme val="minor"/>
      </rPr>
      <t>1</t>
    </r>
  </si>
  <si>
    <t>2. Bridge Length is adjusted for Box Beams to standard 2 foot lengths.  Superstructure replacements must ensure that existing abutment spans can support this length.</t>
  </si>
  <si>
    <t>Out to Out Box Beam Length</t>
  </si>
  <si>
    <t>Skew Width (ft)</t>
  </si>
  <si>
    <t>Skew Length (ft)</t>
  </si>
  <si>
    <t xml:space="preserve">4. Bridge Skew Standard Drawings are provided for Abutment Substructures on 5 degree intervals from 0 to 45.  End Bent Standard Drawings provide the option for 0, 15, 30 and 45 skews. </t>
  </si>
  <si>
    <r>
      <t>Bridge Skew</t>
    </r>
    <r>
      <rPr>
        <vertAlign val="superscript"/>
        <sz val="11"/>
        <color theme="1"/>
        <rFont val="Aptos Narrow"/>
        <family val="2"/>
        <scheme val="minor"/>
      </rPr>
      <t>4</t>
    </r>
  </si>
  <si>
    <t>Composite Steel Beam</t>
  </si>
  <si>
    <t>Non-Comp Steel Beam</t>
  </si>
  <si>
    <r>
      <rPr>
        <sz val="11"/>
        <color theme="1"/>
        <rFont val="Aptos Narrow"/>
        <family val="2"/>
        <scheme val="minor"/>
      </rPr>
      <t>Slab/Deck Depth (in)</t>
    </r>
    <r>
      <rPr>
        <vertAlign val="superscript"/>
        <sz val="11"/>
        <color theme="1"/>
        <rFont val="Aptos Narrow"/>
        <family val="2"/>
        <scheme val="minor"/>
      </rPr>
      <t>5</t>
    </r>
  </si>
  <si>
    <t>Beam Depth (in)</t>
  </si>
  <si>
    <r>
      <t>Bridge Length (Out to Out) (ft)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</si>
  <si>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Bridge Width (Out to Out) (ft)</t>
    </r>
    <r>
      <rPr>
        <vertAlign val="superscript"/>
        <sz val="11"/>
        <color theme="1"/>
        <rFont val="Aptos Narrow"/>
        <family val="2"/>
        <scheme val="minor"/>
      </rPr>
      <t>3</t>
    </r>
  </si>
  <si>
    <t>Beam Thickness (in)</t>
  </si>
  <si>
    <t xml:space="preserve">Recommended </t>
  </si>
  <si>
    <t xml:space="preserve">All Measurements should be field measured and verified before finalizing design and cost estimates </t>
  </si>
  <si>
    <t xml:space="preserve">This Spreadsheet calculates quantities based on KYTC Standard Drawings for single span-Slab, Concrete Box Beam and Steel Beam Bridges.  Quantity and Cost Estimate for Piers are provided; however when designing a multiple span bridge, spans should be designed separately on each tab of the spreadsheet based on the desired design type. </t>
  </si>
  <si>
    <t xml:space="preserve">Estimated Cost </t>
  </si>
  <si>
    <t>Total Beam / Slab Thickness (in)</t>
  </si>
  <si>
    <t xml:space="preserve">Superstructure Design Summary </t>
  </si>
  <si>
    <t>Abutment No. 1</t>
  </si>
  <si>
    <t xml:space="preserve">End Bent </t>
  </si>
  <si>
    <t xml:space="preserve">Wall Abutment </t>
  </si>
  <si>
    <t>Bridge Length (Out to Out) (ft)</t>
  </si>
  <si>
    <t>Bridge Width (Out to Out) (ft)</t>
  </si>
  <si>
    <t>Bridge Span (ft)</t>
  </si>
  <si>
    <t>Bridge Skew (degrees)</t>
  </si>
  <si>
    <t>Beam Depth  (in)</t>
  </si>
  <si>
    <t>Slab + Deck Depth (in)</t>
  </si>
  <si>
    <t>Rock Depth Abutment No. 1 (From Bottom of Beam) (ft)</t>
  </si>
  <si>
    <t>Rock Depth Abutment No. 2 (From Bottom of Beam) (ft)</t>
  </si>
  <si>
    <t>Depth to Rock (from bottom of Beam) (ft)</t>
  </si>
  <si>
    <t>Depth to Rock (ft)</t>
  </si>
  <si>
    <t>Beam / Slab Thickness (in)</t>
  </si>
  <si>
    <t>Abutment No. 2</t>
  </si>
  <si>
    <t>Based on Recommended Box Beam Design from "Bridge Information" Tab</t>
  </si>
  <si>
    <t>Rounds up Bridge Width to 16, 24, or 32. "Error" if &gt; 32 ft based on Standard Box Beam Widths</t>
  </si>
  <si>
    <t>Rounds to closest angle, 0, 15, 30 or 45 degrees</t>
  </si>
  <si>
    <t>--</t>
  </si>
  <si>
    <t>Wing Wall Angle (degrees)</t>
  </si>
  <si>
    <t>Select Superstructure</t>
  </si>
  <si>
    <t>Bridge Length (Out to Out (ft)</t>
  </si>
  <si>
    <t xml:space="preserve">3. Bridge width is adjusted for standard 4 foot widths for box beams and 4 ft spacing for Non-Composite Steel structures with a 9" overhang.  Superstructure replacement must ensure that existing abutment width can support this width. </t>
  </si>
  <si>
    <t xml:space="preserve">Substructure Design Summary </t>
  </si>
  <si>
    <t xml:space="preserve">2. End Bent Standard Drawings are based on standard Box Beam Widths of 16, 24 or 32 feet. </t>
  </si>
  <si>
    <r>
      <t>Bridge Width (Out to Out) (ft)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</si>
  <si>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Bridge Skew (degrees)</t>
    </r>
    <r>
      <rPr>
        <vertAlign val="superscript"/>
        <sz val="11"/>
        <color theme="1"/>
        <rFont val="Aptos Narrow"/>
        <family val="2"/>
        <scheme val="minor"/>
      </rPr>
      <t>3</t>
    </r>
  </si>
  <si>
    <t>Girder</t>
  </si>
  <si>
    <t>Truss</t>
  </si>
  <si>
    <t>Tee Beam</t>
  </si>
  <si>
    <t>Channel Beam</t>
  </si>
  <si>
    <t>Girder/Floor Beam</t>
  </si>
  <si>
    <t>Frame</t>
  </si>
  <si>
    <t>Culvert</t>
  </si>
  <si>
    <t>Pipe Ford</t>
  </si>
  <si>
    <t>Bridge ID and Location</t>
  </si>
  <si>
    <t xml:space="preserve">Select Substructure </t>
  </si>
  <si>
    <t xml:space="preserve">3. Bridge Skew Standard Drawings are provided for Wall Abutment Substructures on 5 degree intervals from 0 to 45.  End Bent Standard Drawings provide for 0, 15, 30 and 45 skews. </t>
  </si>
  <si>
    <t xml:space="preserve">Beam Type </t>
  </si>
  <si>
    <t>Bridge Information</t>
  </si>
  <si>
    <r>
      <t>Desired</t>
    </r>
    <r>
      <rPr>
        <vertAlign val="superscript"/>
        <sz val="10"/>
        <color theme="0"/>
        <rFont val="Aptos Narrow"/>
        <family val="2"/>
        <scheme val="minor"/>
      </rPr>
      <t>1</t>
    </r>
    <r>
      <rPr>
        <sz val="10"/>
        <color theme="0"/>
        <rFont val="Aptos Narrow"/>
        <family val="2"/>
        <scheme val="minor"/>
      </rPr>
      <t xml:space="preserve"> </t>
    </r>
  </si>
  <si>
    <t>Proposed Superstructure Summary</t>
  </si>
  <si>
    <t xml:space="preserve">Superstructure Cost Estimate </t>
  </si>
  <si>
    <t xml:space="preserve">Bridge Replacement Summary </t>
  </si>
  <si>
    <t xml:space="preserve">Replacement Type </t>
  </si>
  <si>
    <t>-</t>
  </si>
  <si>
    <t xml:space="preserve">Abutment 1 </t>
  </si>
  <si>
    <t xml:space="preserve">Abutment Type </t>
  </si>
  <si>
    <t>Abutment 2</t>
  </si>
  <si>
    <t xml:space="preserve">Superstructure Standard Drawings </t>
  </si>
  <si>
    <t xml:space="preserve">Standard Drawings </t>
  </si>
  <si>
    <r>
      <rPr>
        <sz val="11"/>
        <color rgb="FF0033A0"/>
        <rFont val="Aptos Display"/>
        <family val="2"/>
        <scheme val="major"/>
      </rPr>
      <t>visit our website at</t>
    </r>
    <r>
      <rPr>
        <b/>
        <sz val="11"/>
        <color rgb="FF0033A0"/>
        <rFont val="Aptos Display"/>
        <family val="2"/>
        <scheme val="major"/>
      </rPr>
      <t xml:space="preserve"> </t>
    </r>
    <r>
      <rPr>
        <b/>
        <u/>
        <sz val="11"/>
        <color rgb="FF0033A0"/>
        <rFont val="Aptos Display"/>
        <family val="2"/>
        <scheme val="major"/>
      </rPr>
      <t>kyt2.uky.edu</t>
    </r>
  </si>
  <si>
    <t>1. Desired Dimensions are based on selected Superstructure.  If abutment type does not support desired value, re-enter existing bridge dimensions desired values.</t>
  </si>
  <si>
    <t>Proposed Bridge Dimensions</t>
  </si>
  <si>
    <t xml:space="preserve">Existing </t>
  </si>
  <si>
    <t xml:space="preserve">Proposed </t>
  </si>
  <si>
    <t xml:space="preserve">Substructure Standard Drawings </t>
  </si>
  <si>
    <t xml:space="preserve">Abutment No 2. Cost Estiamte </t>
  </si>
  <si>
    <t>Comp. Steel Beam</t>
  </si>
  <si>
    <t>Non-Comp. Steel Beam</t>
  </si>
  <si>
    <t xml:space="preserve">Abutment No 1. Cost 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</si>
</sst>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2"/>
      <color rgb="FF0033A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33A0"/>
      <name val="Aptos Narrow"/>
      <family val="2"/>
      <scheme val="minor"/>
    </font>
    <font>
      <b/>
      <sz val="11"/>
      <color rgb="FF0033A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rgb="FF0033A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sz val="12"/>
      <color rgb="FF0033A0"/>
      <name val="Aptos Narrow"/>
      <family val="2"/>
      <scheme val="minor"/>
    </font>
    <font>
      <sz val="10"/>
      <name val="Segoe UI"/>
      <family val="2"/>
    </font>
    <font>
      <sz val="12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rgb="FF0033A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perscript"/>
      <sz val="10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u/>
      <sz val="11"/>
      <color rgb="FF0033A0"/>
      <name val="Aptos Display"/>
      <family val="2"/>
      <scheme val="major"/>
    </font>
    <font>
      <sz val="11"/>
      <color rgb="FF0033A0"/>
      <name val="Aptos Display"/>
      <family val="2"/>
      <scheme val="major"/>
    </font>
    <font>
      <b/>
      <sz val="11"/>
      <color rgb="FF0033A0"/>
      <name val="Aptos Display"/>
      <family val="2"/>
      <scheme val="major"/>
    </font>
    <font>
      <b/>
      <u/>
      <sz val="11"/>
      <color rgb="FF0033A0"/>
      <name val="Aptos Display"/>
      <family val="2"/>
      <scheme val="major"/>
    </font>
    <font>
      <sz val="9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3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33A0"/>
      </bottom>
      <diagonal/>
    </border>
    <border>
      <left/>
      <right/>
      <top style="thin">
        <color rgb="FF0033A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rgb="FF0033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0" fillId="0" borderId="1" xfId="0" applyBorder="1"/>
    <xf numFmtId="0" fontId="2" fillId="0" borderId="1" xfId="0" applyFont="1" applyBorder="1"/>
    <xf numFmtId="43" fontId="2" fillId="0" borderId="1" xfId="1" applyFont="1" applyBorder="1"/>
    <xf numFmtId="0" fontId="5" fillId="2" borderId="0" xfId="0" applyFont="1" applyFill="1" applyAlignment="1">
      <alignment horizontal="center"/>
    </xf>
    <xf numFmtId="44" fontId="0" fillId="0" borderId="1" xfId="2" applyFont="1" applyBorder="1"/>
    <xf numFmtId="43" fontId="0" fillId="0" borderId="1" xfId="0" applyNumberFormat="1" applyBorder="1"/>
    <xf numFmtId="164" fontId="0" fillId="0" borderId="1" xfId="2" applyNumberFormat="1" applyFont="1" applyBorder="1"/>
    <xf numFmtId="164" fontId="2" fillId="0" borderId="1" xfId="0" applyNumberFormat="1" applyFont="1" applyBorder="1"/>
    <xf numFmtId="165" fontId="0" fillId="0" borderId="1" xfId="0" applyNumberForma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/>
    </xf>
    <xf numFmtId="1" fontId="0" fillId="0" borderId="1" xfId="0" applyNumberFormat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166" fontId="0" fillId="0" borderId="1" xfId="0" applyNumberFormat="1" applyBorder="1"/>
    <xf numFmtId="1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0" fillId="0" borderId="5" xfId="2" applyNumberFormat="1" applyFont="1" applyBorder="1"/>
    <xf numFmtId="164" fontId="2" fillId="0" borderId="5" xfId="0" applyNumberFormat="1" applyFont="1" applyBorder="1"/>
    <xf numFmtId="0" fontId="10" fillId="0" borderId="11" xfId="0" applyFont="1" applyBorder="1" applyAlignment="1">
      <alignment horizontal="left"/>
    </xf>
    <xf numFmtId="0" fontId="4" fillId="2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/>
    <xf numFmtId="43" fontId="0" fillId="4" borderId="1" xfId="0" applyNumberFormat="1" applyFill="1" applyBorder="1"/>
    <xf numFmtId="44" fontId="0" fillId="4" borderId="1" xfId="2" applyFont="1" applyFill="1" applyBorder="1"/>
    <xf numFmtId="164" fontId="0" fillId="4" borderId="1" xfId="2" applyNumberFormat="1" applyFont="1" applyFill="1" applyBorder="1"/>
    <xf numFmtId="1" fontId="0" fillId="4" borderId="1" xfId="0" applyNumberFormat="1" applyFill="1" applyBorder="1"/>
    <xf numFmtId="165" fontId="0" fillId="4" borderId="1" xfId="0" applyNumberFormat="1" applyFill="1" applyBorder="1"/>
    <xf numFmtId="44" fontId="0" fillId="4" borderId="5" xfId="2" applyFont="1" applyFill="1" applyBorder="1"/>
    <xf numFmtId="44" fontId="0" fillId="0" borderId="0" xfId="0" applyNumberFormat="1"/>
    <xf numFmtId="0" fontId="13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5" xfId="0" applyBorder="1"/>
    <xf numFmtId="49" fontId="10" fillId="0" borderId="0" xfId="0" applyNumberFormat="1" applyFont="1" applyAlignment="1">
      <alignment horizontal="left"/>
    </xf>
    <xf numFmtId="0" fontId="0" fillId="0" borderId="1" xfId="0" applyBorder="1" applyAlignment="1">
      <alignment horizontal="right"/>
    </xf>
    <xf numFmtId="0" fontId="14" fillId="0" borderId="9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4" fillId="2" borderId="13" xfId="0" applyFont="1" applyFill="1" applyBorder="1"/>
    <xf numFmtId="0" fontId="16" fillId="0" borderId="14" xfId="0" applyFont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4" fillId="0" borderId="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5" fillId="0" borderId="0" xfId="0" applyNumberFormat="1" applyFont="1"/>
    <xf numFmtId="49" fontId="0" fillId="0" borderId="0" xfId="0" applyNumberFormat="1"/>
    <xf numFmtId="0" fontId="1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5" borderId="5" xfId="0" applyFill="1" applyBorder="1"/>
    <xf numFmtId="0" fontId="0" fillId="0" borderId="16" xfId="0" applyBorder="1"/>
    <xf numFmtId="165" fontId="0" fillId="0" borderId="5" xfId="0" applyNumberFormat="1" applyBorder="1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1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0" fillId="0" borderId="1" xfId="0" quotePrefix="1" applyBorder="1" applyAlignment="1">
      <alignment horizontal="center"/>
    </xf>
    <xf numFmtId="0" fontId="0" fillId="7" borderId="1" xfId="0" applyFill="1" applyBorder="1"/>
    <xf numFmtId="0" fontId="23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2" fillId="0" borderId="13" xfId="0" applyFont="1" applyBorder="1"/>
    <xf numFmtId="164" fontId="2" fillId="0" borderId="13" xfId="2" applyNumberFormat="1" applyFont="1" applyBorder="1"/>
    <xf numFmtId="0" fontId="0" fillId="0" borderId="13" xfId="0" applyBorder="1"/>
    <xf numFmtId="0" fontId="0" fillId="0" borderId="7" xfId="0" applyBorder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1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6" fillId="0" borderId="0" xfId="0" applyFont="1"/>
    <xf numFmtId="0" fontId="23" fillId="0" borderId="0" xfId="0" applyFont="1"/>
    <xf numFmtId="0" fontId="2" fillId="0" borderId="19" xfId="0" applyFont="1" applyBorder="1"/>
    <xf numFmtId="164" fontId="2" fillId="0" borderId="20" xfId="2" applyNumberFormat="1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2" fillId="0" borderId="20" xfId="0" applyFont="1" applyBorder="1"/>
    <xf numFmtId="0" fontId="0" fillId="0" borderId="9" xfId="0" applyBorder="1"/>
    <xf numFmtId="0" fontId="0" fillId="0" borderId="10" xfId="0" applyBorder="1"/>
    <xf numFmtId="0" fontId="10" fillId="0" borderId="0" xfId="0" applyFont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0" fontId="2" fillId="0" borderId="1" xfId="0" quotePrefix="1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right"/>
    </xf>
    <xf numFmtId="44" fontId="0" fillId="0" borderId="0" xfId="2" applyFont="1" applyAlignment="1">
      <alignment horizontal="right"/>
    </xf>
    <xf numFmtId="0" fontId="2" fillId="0" borderId="0" xfId="0" applyFont="1" applyAlignment="1">
      <alignment horizontal="right"/>
    </xf>
    <xf numFmtId="0" fontId="29" fillId="0" borderId="4" xfId="0" applyFont="1" applyBorder="1"/>
    <xf numFmtId="0" fontId="0" fillId="0" borderId="4" xfId="0" applyBorder="1"/>
    <xf numFmtId="0" fontId="10" fillId="0" borderId="23" xfId="0" applyFont="1" applyBorder="1" applyAlignment="1">
      <alignment horizontal="center" wrapText="1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164" fontId="2" fillId="0" borderId="20" xfId="2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0" borderId="21" xfId="2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0" borderId="20" xfId="2" applyNumberFormat="1" applyFont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left"/>
    </xf>
    <xf numFmtId="44" fontId="0" fillId="0" borderId="0" xfId="2" applyFont="1"/>
    <xf numFmtId="0" fontId="35" fillId="7" borderId="1" xfId="0" applyFont="1" applyFill="1" applyBorder="1" applyAlignment="1" applyProtection="1">
      <alignment horizontal="center" vertical="center" wrapText="1"/>
      <protection locked="0"/>
    </xf>
    <xf numFmtId="0" fontId="22" fillId="6" borderId="2" xfId="0" applyFont="1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23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10" fillId="8" borderId="2" xfId="0" applyFont="1" applyFill="1" applyBorder="1" applyAlignment="1" applyProtection="1">
      <alignment horizontal="center"/>
      <protection locked="0"/>
    </xf>
    <xf numFmtId="0" fontId="10" fillId="8" borderId="0" xfId="0" applyFont="1" applyFill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1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6" fillId="0" borderId="1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ont>
        <b/>
        <i val="0"/>
        <color rgb="FF0033A0"/>
      </font>
      <numFmt numFmtId="0" formatCode="General"/>
      <border>
        <bottom style="thin">
          <color rgb="FF0033A0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33A0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33</xdr:row>
      <xdr:rowOff>63531</xdr:rowOff>
    </xdr:from>
    <xdr:to>
      <xdr:col>2</xdr:col>
      <xdr:colOff>657225</xdr:colOff>
      <xdr:row>35</xdr:row>
      <xdr:rowOff>302488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405FDE-B3CB-03CE-3286-1BDDB32A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540656"/>
          <a:ext cx="3990975" cy="619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1038411</xdr:colOff>
      <xdr:row>40</xdr:row>
      <xdr:rowOff>120208</xdr:rowOff>
    </xdr:from>
    <xdr:to>
      <xdr:col>5</xdr:col>
      <xdr:colOff>445433</xdr:colOff>
      <xdr:row>42</xdr:row>
      <xdr:rowOff>146509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67CAE-956E-49F1-AA61-868224C7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440" y="11863973"/>
          <a:ext cx="2567081" cy="407301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485774</xdr:colOff>
      <xdr:row>40</xdr:row>
      <xdr:rowOff>91446</xdr:rowOff>
    </xdr:from>
    <xdr:to>
      <xdr:col>10</xdr:col>
      <xdr:colOff>993774</xdr:colOff>
      <xdr:row>42</xdr:row>
      <xdr:rowOff>117747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3F41E-A4CA-4F18-AE12-3E15E205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2362" y="11835211"/>
          <a:ext cx="2558677" cy="40730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E92B-2CEA-4E29-BFFB-BAD29E657DDD}">
  <dimension ref="A1:R58"/>
  <sheetViews>
    <sheetView tabSelected="1" zoomScale="85" zoomScaleNormal="85" workbookViewId="0">
      <selection activeCell="A2" sqref="A2:J2"/>
    </sheetView>
  </sheetViews>
  <sheetFormatPr defaultRowHeight="15" x14ac:dyDescent="0.25"/>
  <cols>
    <col min="1" max="1" width="35" customWidth="1"/>
    <col min="2" max="3" width="15.42578125" customWidth="1"/>
    <col min="4" max="4" width="11.7109375" customWidth="1"/>
    <col min="5" max="5" width="30.5703125" customWidth="1"/>
    <col min="6" max="11" width="11.7109375" customWidth="1"/>
    <col min="15" max="17" width="9.140625" hidden="1" customWidth="1"/>
    <col min="18" max="18" width="0" hidden="1" customWidth="1"/>
  </cols>
  <sheetData>
    <row r="1" spans="1:18" s="73" customFormat="1" ht="30" customHeight="1" x14ac:dyDescent="0.25">
      <c r="A1" s="148" t="s">
        <v>357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O1" s="73" t="s">
        <v>364</v>
      </c>
      <c r="Q1" s="73" t="s">
        <v>367</v>
      </c>
    </row>
    <row r="2" spans="1:18" s="84" customFormat="1" ht="45" customHeight="1" x14ac:dyDescent="0.25">
      <c r="A2" s="155" t="s">
        <v>386</v>
      </c>
      <c r="B2" s="155"/>
      <c r="C2" s="155"/>
      <c r="D2" s="155"/>
      <c r="E2" s="155"/>
      <c r="F2" s="155"/>
      <c r="G2" s="155"/>
      <c r="H2" s="155"/>
      <c r="I2" s="155"/>
      <c r="J2" s="155"/>
      <c r="O2" s="84" t="s">
        <v>365</v>
      </c>
      <c r="Q2" s="84" t="s">
        <v>359</v>
      </c>
      <c r="R2" s="84" t="s">
        <v>360</v>
      </c>
    </row>
    <row r="3" spans="1:18" ht="15.75" x14ac:dyDescent="0.25">
      <c r="A3" s="94" t="s">
        <v>429</v>
      </c>
      <c r="D3" s="83"/>
      <c r="E3" s="154" t="s">
        <v>389</v>
      </c>
      <c r="F3" s="154"/>
      <c r="G3" s="154"/>
      <c r="H3" s="154"/>
      <c r="I3" s="154"/>
      <c r="O3" t="s">
        <v>366</v>
      </c>
      <c r="Q3" t="s">
        <v>417</v>
      </c>
      <c r="R3" t="s">
        <v>359</v>
      </c>
    </row>
    <row r="4" spans="1:18" ht="31.5" x14ac:dyDescent="0.25">
      <c r="A4" s="138" t="s">
        <v>425</v>
      </c>
      <c r="B4" s="138"/>
      <c r="C4" s="138"/>
      <c r="E4" s="66" t="s">
        <v>358</v>
      </c>
      <c r="F4" s="66" t="s">
        <v>361</v>
      </c>
      <c r="G4" s="66" t="s">
        <v>359</v>
      </c>
      <c r="H4" s="66" t="s">
        <v>360</v>
      </c>
      <c r="I4" s="66" t="s">
        <v>378</v>
      </c>
      <c r="J4" s="66" t="s">
        <v>377</v>
      </c>
      <c r="K4" s="68"/>
      <c r="L4" s="68"/>
      <c r="Q4" t="s">
        <v>418</v>
      </c>
      <c r="R4" t="s">
        <v>448</v>
      </c>
    </row>
    <row r="5" spans="1:18" ht="16.5" x14ac:dyDescent="0.25">
      <c r="A5" s="4" t="s">
        <v>353</v>
      </c>
      <c r="B5" s="159"/>
      <c r="C5" s="160"/>
      <c r="E5" s="4" t="s">
        <v>370</v>
      </c>
      <c r="F5" s="75"/>
      <c r="G5" s="75" t="s">
        <v>359</v>
      </c>
      <c r="H5" s="75" t="str">
        <f>BoxBeam!B10</f>
        <v>CB12</v>
      </c>
      <c r="I5" s="75" t="str">
        <f>'Non-CompositeSteel'!B9</f>
        <v>W24x117</v>
      </c>
      <c r="J5" s="28" t="str">
        <f>CompositeSteel!B8</f>
        <v>W27x84</v>
      </c>
      <c r="K5" s="68"/>
      <c r="L5" s="68"/>
      <c r="O5" t="s">
        <v>367</v>
      </c>
      <c r="Q5" t="s">
        <v>419</v>
      </c>
      <c r="R5" t="s">
        <v>449</v>
      </c>
    </row>
    <row r="6" spans="1:18" ht="16.5" x14ac:dyDescent="0.25">
      <c r="A6" s="4" t="s">
        <v>354</v>
      </c>
      <c r="B6" s="159"/>
      <c r="C6" s="160"/>
      <c r="E6" s="4" t="s">
        <v>381</v>
      </c>
      <c r="F6" s="76">
        <f>C15</f>
        <v>32</v>
      </c>
      <c r="G6" s="76">
        <f>Slab!B3</f>
        <v>32</v>
      </c>
      <c r="H6" s="76">
        <f>BoxBeam!B7</f>
        <v>32</v>
      </c>
      <c r="I6" s="76">
        <f>'Non-CompositeSteel'!B5</f>
        <v>32</v>
      </c>
      <c r="J6" s="4">
        <f>CompositeSteel!B4</f>
        <v>32</v>
      </c>
      <c r="O6">
        <v>0</v>
      </c>
      <c r="Q6" t="s">
        <v>360</v>
      </c>
    </row>
    <row r="7" spans="1:18" ht="16.5" x14ac:dyDescent="0.25">
      <c r="A7" s="4" t="s">
        <v>355</v>
      </c>
      <c r="B7" s="159"/>
      <c r="C7" s="160"/>
      <c r="E7" s="4" t="s">
        <v>382</v>
      </c>
      <c r="F7" s="76">
        <f>C16</f>
        <v>24</v>
      </c>
      <c r="G7" s="76">
        <f>Slab!B2</f>
        <v>24</v>
      </c>
      <c r="H7" s="76">
        <f>BoxBeam!B6</f>
        <v>24</v>
      </c>
      <c r="I7" s="76">
        <f>'Non-CompositeSteel'!B4</f>
        <v>25.5</v>
      </c>
      <c r="J7" s="4">
        <f>CompositeSteel!B3</f>
        <v>24</v>
      </c>
      <c r="O7">
        <v>5</v>
      </c>
      <c r="Q7" t="s">
        <v>420</v>
      </c>
    </row>
    <row r="8" spans="1:18" x14ac:dyDescent="0.25">
      <c r="A8" s="4" t="s">
        <v>356</v>
      </c>
      <c r="B8" s="159"/>
      <c r="C8" s="160"/>
      <c r="E8" s="4" t="s">
        <v>363</v>
      </c>
      <c r="F8" s="76">
        <f>C17</f>
        <v>1</v>
      </c>
      <c r="G8" s="76">
        <f>F8</f>
        <v>1</v>
      </c>
      <c r="H8" s="76">
        <f>F8</f>
        <v>1</v>
      </c>
      <c r="I8" s="76">
        <f>F8</f>
        <v>1</v>
      </c>
      <c r="J8" s="4">
        <f>F8</f>
        <v>1</v>
      </c>
      <c r="O8">
        <v>10</v>
      </c>
      <c r="Q8" t="s">
        <v>421</v>
      </c>
    </row>
    <row r="9" spans="1:18" ht="16.5" x14ac:dyDescent="0.25">
      <c r="A9" s="4" t="s">
        <v>364</v>
      </c>
      <c r="B9" s="136" t="s">
        <v>365</v>
      </c>
      <c r="C9" s="137"/>
      <c r="E9" s="4" t="s">
        <v>376</v>
      </c>
      <c r="F9" s="76">
        <f>C19</f>
        <v>15</v>
      </c>
      <c r="G9" s="76">
        <f>F9</f>
        <v>15</v>
      </c>
      <c r="H9" s="76">
        <f>BoxBeam!B4</f>
        <v>15</v>
      </c>
      <c r="I9" s="76">
        <f>F9</f>
        <v>15</v>
      </c>
      <c r="J9" s="4">
        <f>CompositeSteel!B5</f>
        <v>15</v>
      </c>
      <c r="O9">
        <v>15</v>
      </c>
      <c r="Q9" t="s">
        <v>422</v>
      </c>
    </row>
    <row r="10" spans="1:18" s="67" customFormat="1" ht="15" customHeight="1" x14ac:dyDescent="0.25">
      <c r="A10"/>
      <c r="B10"/>
      <c r="C10"/>
      <c r="D10" s="89"/>
      <c r="E10" s="88" t="s">
        <v>380</v>
      </c>
      <c r="F10" s="76">
        <f>C20</f>
        <v>24</v>
      </c>
      <c r="G10" s="76">
        <v>0</v>
      </c>
      <c r="H10" s="76">
        <f>BoxBeam!B19</f>
        <v>12</v>
      </c>
      <c r="I10" s="76">
        <f>'Non-CompositeSteel'!B23</f>
        <v>24.3</v>
      </c>
      <c r="J10" s="4">
        <f>CompositeSteel!B16</f>
        <v>0</v>
      </c>
      <c r="K10"/>
      <c r="L10"/>
      <c r="O10" s="67">
        <v>20</v>
      </c>
      <c r="Q10" s="67" t="s">
        <v>423</v>
      </c>
    </row>
    <row r="11" spans="1:18" s="67" customFormat="1" ht="15" customHeight="1" x14ac:dyDescent="0.25">
      <c r="A11" s="90" t="s">
        <v>443</v>
      </c>
      <c r="B11" s="89"/>
      <c r="C11" s="89"/>
      <c r="E11" s="77" t="s">
        <v>379</v>
      </c>
      <c r="F11" s="76">
        <f>C21</f>
        <v>5</v>
      </c>
      <c r="G11" s="76">
        <f>Slab!B17</f>
        <v>17</v>
      </c>
      <c r="H11" s="76">
        <f>BoxBeam!B18</f>
        <v>5</v>
      </c>
      <c r="I11" s="76">
        <f>'Non-CompositeSteel'!B21</f>
        <v>8</v>
      </c>
      <c r="J11" s="4">
        <f>CompositeSteel!B14</f>
        <v>8</v>
      </c>
      <c r="K11"/>
      <c r="L11"/>
      <c r="Q11" s="67" t="s">
        <v>424</v>
      </c>
    </row>
    <row r="12" spans="1:18" s="22" customFormat="1" ht="15" customHeight="1" x14ac:dyDescent="0.25">
      <c r="A12" s="138" t="s">
        <v>358</v>
      </c>
      <c r="B12" s="138" t="s">
        <v>444</v>
      </c>
      <c r="C12" s="138" t="s">
        <v>445</v>
      </c>
      <c r="D12" s="67"/>
      <c r="E12" s="4" t="s">
        <v>388</v>
      </c>
      <c r="F12" s="76">
        <f>F11+F10</f>
        <v>29</v>
      </c>
      <c r="G12" s="76">
        <f t="shared" ref="G12:J12" si="0">G11+G10</f>
        <v>17</v>
      </c>
      <c r="H12" s="76">
        <f t="shared" si="0"/>
        <v>17</v>
      </c>
      <c r="I12" s="76">
        <f t="shared" si="0"/>
        <v>32.299999999999997</v>
      </c>
      <c r="J12" s="76">
        <f t="shared" si="0"/>
        <v>8</v>
      </c>
      <c r="K12"/>
      <c r="L12"/>
      <c r="O12" s="22">
        <v>25</v>
      </c>
    </row>
    <row r="13" spans="1:18" ht="15.75" thickBot="1" x14ac:dyDescent="0.3">
      <c r="A13" s="150"/>
      <c r="B13" s="150"/>
      <c r="C13" s="150"/>
      <c r="D13" s="69"/>
      <c r="E13" s="85" t="s">
        <v>387</v>
      </c>
      <c r="F13" s="85"/>
      <c r="G13" s="86">
        <f>Slab!E27</f>
        <v>128667.72764525891</v>
      </c>
      <c r="H13" s="86">
        <f>BoxBeam!E31</f>
        <v>117994.4129544427</v>
      </c>
      <c r="I13" s="86">
        <f>'Non-CompositeSteel'!E34</f>
        <v>188114.89592592593</v>
      </c>
      <c r="J13" s="86">
        <f>CompositeSteel!E26</f>
        <v>136283.38009259262</v>
      </c>
      <c r="O13">
        <v>30</v>
      </c>
    </row>
    <row r="14" spans="1:18" x14ac:dyDescent="0.25">
      <c r="A14" s="78" t="s">
        <v>367</v>
      </c>
      <c r="B14" s="135" t="s">
        <v>421</v>
      </c>
      <c r="C14" s="135"/>
      <c r="E14" s="95" t="s">
        <v>410</v>
      </c>
      <c r="F14" s="100"/>
      <c r="G14" s="125" t="b">
        <v>1</v>
      </c>
      <c r="H14" s="125" t="b">
        <v>0</v>
      </c>
      <c r="I14" s="125" t="b">
        <v>0</v>
      </c>
      <c r="J14" s="126" t="b">
        <v>0</v>
      </c>
      <c r="O14">
        <v>35</v>
      </c>
    </row>
    <row r="15" spans="1:18" x14ac:dyDescent="0.25">
      <c r="A15" s="4" t="s">
        <v>393</v>
      </c>
      <c r="B15" s="124">
        <v>32</v>
      </c>
      <c r="C15" s="124">
        <v>32</v>
      </c>
      <c r="E15" s="97" t="s">
        <v>369</v>
      </c>
      <c r="F15" s="101"/>
      <c r="G15" s="101"/>
      <c r="H15" s="101"/>
      <c r="I15" s="101"/>
      <c r="J15" s="102"/>
      <c r="O15">
        <v>40</v>
      </c>
    </row>
    <row r="16" spans="1:18" x14ac:dyDescent="0.25">
      <c r="A16" s="4" t="s">
        <v>394</v>
      </c>
      <c r="B16" s="124">
        <v>24</v>
      </c>
      <c r="C16" s="124">
        <v>24</v>
      </c>
      <c r="E16" s="156" t="s">
        <v>368</v>
      </c>
      <c r="F16" s="157"/>
      <c r="G16" s="157"/>
      <c r="H16" s="157"/>
      <c r="I16" s="157"/>
      <c r="J16" s="158"/>
      <c r="O16">
        <v>45</v>
      </c>
    </row>
    <row r="17" spans="1:11" x14ac:dyDescent="0.25">
      <c r="A17" s="4" t="s">
        <v>363</v>
      </c>
      <c r="B17" s="124">
        <v>1</v>
      </c>
      <c r="C17" s="124">
        <v>1</v>
      </c>
      <c r="E17" s="156" t="s">
        <v>371</v>
      </c>
      <c r="F17" s="157"/>
      <c r="G17" s="157"/>
      <c r="H17" s="157"/>
      <c r="I17" s="157"/>
      <c r="J17" s="158"/>
    </row>
    <row r="18" spans="1:11" x14ac:dyDescent="0.25">
      <c r="A18" s="4" t="s">
        <v>395</v>
      </c>
      <c r="B18" s="124">
        <f>B15-1</f>
        <v>31</v>
      </c>
      <c r="C18" s="124">
        <f>C15-1</f>
        <v>31</v>
      </c>
      <c r="E18" s="151" t="s">
        <v>412</v>
      </c>
      <c r="F18" s="152"/>
      <c r="G18" s="152"/>
      <c r="H18" s="152"/>
      <c r="I18" s="152"/>
      <c r="J18" s="153"/>
    </row>
    <row r="19" spans="1:11" x14ac:dyDescent="0.25">
      <c r="A19" s="4" t="s">
        <v>396</v>
      </c>
      <c r="B19" s="124">
        <v>30</v>
      </c>
      <c r="C19" s="124">
        <v>15</v>
      </c>
      <c r="E19" s="151"/>
      <c r="F19" s="152"/>
      <c r="G19" s="152"/>
      <c r="H19" s="152"/>
      <c r="I19" s="152"/>
      <c r="J19" s="153"/>
    </row>
    <row r="20" spans="1:11" ht="15" customHeight="1" x14ac:dyDescent="0.25">
      <c r="A20" s="4" t="s">
        <v>397</v>
      </c>
      <c r="B20" s="124">
        <v>24</v>
      </c>
      <c r="C20" s="124">
        <v>24</v>
      </c>
      <c r="E20" s="139" t="s">
        <v>375</v>
      </c>
      <c r="F20" s="140"/>
      <c r="G20" s="140"/>
      <c r="H20" s="140"/>
      <c r="I20" s="140"/>
      <c r="J20" s="141"/>
    </row>
    <row r="21" spans="1:11" x14ac:dyDescent="0.25">
      <c r="A21" s="4" t="s">
        <v>398</v>
      </c>
      <c r="B21" s="124">
        <v>5</v>
      </c>
      <c r="C21" s="124">
        <v>5</v>
      </c>
      <c r="E21" s="142"/>
      <c r="F21" s="143"/>
      <c r="G21" s="143"/>
      <c r="H21" s="143"/>
      <c r="I21" s="143"/>
      <c r="J21" s="144"/>
    </row>
    <row r="22" spans="1:11" ht="27" x14ac:dyDescent="0.25">
      <c r="A22" s="79" t="s">
        <v>399</v>
      </c>
      <c r="B22" s="124">
        <v>10</v>
      </c>
      <c r="C22" s="124">
        <v>10</v>
      </c>
      <c r="E22" s="91" t="s">
        <v>413</v>
      </c>
      <c r="F22" s="82"/>
      <c r="G22" s="82"/>
      <c r="H22" s="82"/>
      <c r="I22" s="82"/>
    </row>
    <row r="23" spans="1:11" ht="27" customHeight="1" x14ac:dyDescent="0.25">
      <c r="A23" s="79" t="s">
        <v>400</v>
      </c>
      <c r="B23" s="124">
        <v>10</v>
      </c>
      <c r="C23" s="124">
        <v>10</v>
      </c>
      <c r="E23" s="165" t="s">
        <v>358</v>
      </c>
      <c r="F23" s="161" t="s">
        <v>390</v>
      </c>
      <c r="G23" s="161"/>
      <c r="H23" s="162"/>
      <c r="I23" s="163" t="s">
        <v>404</v>
      </c>
      <c r="J23" s="164"/>
      <c r="K23" s="164"/>
    </row>
    <row r="24" spans="1:11" s="103" customFormat="1" ht="27" customHeight="1" x14ac:dyDescent="0.25">
      <c r="A24" s="145" t="s">
        <v>369</v>
      </c>
      <c r="B24" s="146"/>
      <c r="C24" s="147"/>
      <c r="E24" s="150"/>
      <c r="F24" s="104" t="s">
        <v>430</v>
      </c>
      <c r="G24" s="105" t="s">
        <v>391</v>
      </c>
      <c r="H24" s="104" t="s">
        <v>392</v>
      </c>
      <c r="I24" s="106" t="s">
        <v>361</v>
      </c>
      <c r="J24" s="105" t="s">
        <v>391</v>
      </c>
      <c r="K24" s="104" t="s">
        <v>392</v>
      </c>
    </row>
    <row r="25" spans="1:11" ht="15" customHeight="1" x14ac:dyDescent="0.25">
      <c r="A25" s="139" t="s">
        <v>385</v>
      </c>
      <c r="B25" s="140"/>
      <c r="C25" s="141"/>
      <c r="E25" s="4" t="s">
        <v>415</v>
      </c>
      <c r="F25" s="4">
        <f>IF(G14=TRUE,G7,IF(H14=TRUE,H7,IF(I14=TRUE,I7,IF(J14=TRUE,J7,"Select Superstructure"))))</f>
        <v>24</v>
      </c>
      <c r="G25" s="16">
        <f>'End Bent No. 1'!B9</f>
        <v>24</v>
      </c>
      <c r="H25" s="4">
        <f>'Wall Abutment No. 1'!B3</f>
        <v>24</v>
      </c>
      <c r="I25" s="4">
        <f>F25</f>
        <v>24</v>
      </c>
      <c r="J25" s="16">
        <f>'End Bent No. 2'!B9</f>
        <v>24</v>
      </c>
      <c r="K25" s="4">
        <f>'Wall Abutment No. 2'!B3</f>
        <v>24</v>
      </c>
    </row>
    <row r="26" spans="1:11" ht="15" customHeight="1" x14ac:dyDescent="0.25">
      <c r="A26" s="142"/>
      <c r="B26" s="143"/>
      <c r="C26" s="144"/>
      <c r="E26" s="4" t="s">
        <v>411</v>
      </c>
      <c r="F26" s="4">
        <f>IF(G14=TRUE,G6,IF(H14=TRUE,H6,IF(I14=TRUE,I6,IF(J14=TRUE,J6,"Select Superstructure"))))</f>
        <v>32</v>
      </c>
      <c r="G26" s="16">
        <f>'End Bent No. 1'!B4</f>
        <v>32</v>
      </c>
      <c r="H26" s="4">
        <f>'Wall Abutment No. 1'!B4</f>
        <v>32</v>
      </c>
      <c r="I26" s="4">
        <f>F26</f>
        <v>32</v>
      </c>
      <c r="J26" s="16">
        <f>'End Bent No. 2'!B4</f>
        <v>32</v>
      </c>
      <c r="K26" s="4">
        <f>'Wall Abutment No. 2'!B4</f>
        <v>32</v>
      </c>
    </row>
    <row r="27" spans="1:11" ht="15" customHeight="1" x14ac:dyDescent="0.25">
      <c r="E27" s="4" t="s">
        <v>416</v>
      </c>
      <c r="F27" s="4">
        <f>F9</f>
        <v>15</v>
      </c>
      <c r="G27" s="4">
        <f>'End Bent No. 1'!B5</f>
        <v>15</v>
      </c>
      <c r="H27" s="4">
        <f>'Wall Abutment No. 1'!B5</f>
        <v>15</v>
      </c>
      <c r="I27" s="4">
        <f>F27</f>
        <v>15</v>
      </c>
      <c r="J27" s="4">
        <f>'End Bent No. 2'!B5</f>
        <v>15</v>
      </c>
      <c r="K27" s="4">
        <f>'Wall Abutment No. 2'!B5</f>
        <v>15</v>
      </c>
    </row>
    <row r="28" spans="1:11" x14ac:dyDescent="0.25">
      <c r="E28" s="4" t="s">
        <v>402</v>
      </c>
      <c r="F28" s="4">
        <f>C22</f>
        <v>10</v>
      </c>
      <c r="G28" s="4">
        <f>F28</f>
        <v>10</v>
      </c>
      <c r="H28" s="4">
        <f>'Wall Abutment No. 1'!B7</f>
        <v>10</v>
      </c>
      <c r="I28" s="4">
        <f>C23</f>
        <v>10</v>
      </c>
      <c r="J28" s="4">
        <f>'End Bent No. 2'!B11</f>
        <v>10</v>
      </c>
      <c r="K28" s="4">
        <f>'Wall Abutment No. 2'!B7</f>
        <v>10</v>
      </c>
    </row>
    <row r="29" spans="1:11" x14ac:dyDescent="0.25">
      <c r="E29" s="4" t="s">
        <v>403</v>
      </c>
      <c r="F29" s="4">
        <f>IF(G14=TRUE,G12,IF(H14=TRUE,H12,IF(I14=TRUE,I12,IF(J14=TRUE,J12,"Select Superstructure"))))</f>
        <v>17</v>
      </c>
      <c r="G29" s="4">
        <f>H12</f>
        <v>17</v>
      </c>
      <c r="H29" s="4">
        <f>F29</f>
        <v>17</v>
      </c>
      <c r="I29" s="4">
        <f>F29</f>
        <v>17</v>
      </c>
      <c r="J29" s="4">
        <f>G29</f>
        <v>17</v>
      </c>
      <c r="K29" s="4">
        <f>F29</f>
        <v>17</v>
      </c>
    </row>
    <row r="30" spans="1:11" x14ac:dyDescent="0.25">
      <c r="E30" s="4" t="s">
        <v>409</v>
      </c>
      <c r="F30" s="81">
        <v>50</v>
      </c>
      <c r="G30" s="80" t="s">
        <v>408</v>
      </c>
      <c r="H30" s="4">
        <f>F30</f>
        <v>50</v>
      </c>
      <c r="I30" s="81">
        <v>50</v>
      </c>
      <c r="J30" s="80" t="s">
        <v>408</v>
      </c>
      <c r="K30" s="4">
        <f>I30</f>
        <v>50</v>
      </c>
    </row>
    <row r="31" spans="1:11" ht="15.75" thickBot="1" x14ac:dyDescent="0.3">
      <c r="E31" s="85" t="s">
        <v>387</v>
      </c>
      <c r="F31" s="85"/>
      <c r="G31" s="86">
        <f>'End Bent No. 1'!E22</f>
        <v>38141.599999999999</v>
      </c>
      <c r="H31" s="86">
        <f>'Wall Abutment No. 1'!E19</f>
        <v>189667.26407999999</v>
      </c>
      <c r="I31" s="87"/>
      <c r="J31" s="86">
        <f>'End Bent No. 2'!E22</f>
        <v>38141.599999999999</v>
      </c>
      <c r="K31" s="86">
        <f>'Wall Abutment No. 2'!E19</f>
        <v>189667.26407999999</v>
      </c>
    </row>
    <row r="32" spans="1:11" x14ac:dyDescent="0.25">
      <c r="E32" s="95" t="s">
        <v>426</v>
      </c>
      <c r="F32" s="96"/>
      <c r="G32" s="125" t="b">
        <v>1</v>
      </c>
      <c r="H32" s="125" t="b">
        <v>0</v>
      </c>
      <c r="I32" s="127"/>
      <c r="J32" s="125" t="b">
        <v>0</v>
      </c>
      <c r="K32" s="126" t="b">
        <v>1</v>
      </c>
    </row>
    <row r="33" spans="1:11" x14ac:dyDescent="0.25">
      <c r="A33" s="133" t="s">
        <v>441</v>
      </c>
      <c r="E33" s="97" t="s">
        <v>369</v>
      </c>
      <c r="F33" s="98"/>
      <c r="G33" s="98"/>
      <c r="H33" s="98"/>
      <c r="I33" s="98"/>
      <c r="J33" s="98"/>
      <c r="K33" s="99"/>
    </row>
    <row r="34" spans="1:11" x14ac:dyDescent="0.25">
      <c r="E34" s="156" t="s">
        <v>442</v>
      </c>
      <c r="F34" s="157"/>
      <c r="G34" s="157"/>
      <c r="H34" s="157"/>
      <c r="I34" s="157"/>
      <c r="J34" s="157"/>
      <c r="K34" s="158"/>
    </row>
    <row r="35" spans="1:11" x14ac:dyDescent="0.25">
      <c r="E35" s="156" t="s">
        <v>414</v>
      </c>
      <c r="F35" s="157"/>
      <c r="G35" s="157"/>
      <c r="H35" s="157"/>
      <c r="I35" s="157"/>
      <c r="J35" s="157"/>
      <c r="K35" s="158"/>
    </row>
    <row r="36" spans="1:11" ht="30" customHeight="1" x14ac:dyDescent="0.25">
      <c r="E36" s="142" t="s">
        <v>427</v>
      </c>
      <c r="F36" s="143"/>
      <c r="G36" s="143"/>
      <c r="H36" s="143"/>
      <c r="I36" s="143"/>
      <c r="J36" s="143"/>
      <c r="K36" s="144"/>
    </row>
    <row r="39" spans="1:11" s="84" customFormat="1" ht="30" customHeight="1" x14ac:dyDescent="0.25"/>
    <row r="58" spans="1:1" x14ac:dyDescent="0.25">
      <c r="A58" s="14"/>
    </row>
  </sheetData>
  <mergeCells count="24">
    <mergeCell ref="B7:C7"/>
    <mergeCell ref="B8:C8"/>
    <mergeCell ref="E34:K34"/>
    <mergeCell ref="E35:K35"/>
    <mergeCell ref="E36:K36"/>
    <mergeCell ref="F23:H23"/>
    <mergeCell ref="I23:K23"/>
    <mergeCell ref="E23:E24"/>
    <mergeCell ref="B9:C9"/>
    <mergeCell ref="A4:C4"/>
    <mergeCell ref="A25:C26"/>
    <mergeCell ref="A24:C24"/>
    <mergeCell ref="A1:K1"/>
    <mergeCell ref="A12:A13"/>
    <mergeCell ref="C12:C13"/>
    <mergeCell ref="E18:J19"/>
    <mergeCell ref="E20:J21"/>
    <mergeCell ref="E3:I3"/>
    <mergeCell ref="A2:J2"/>
    <mergeCell ref="E16:J16"/>
    <mergeCell ref="E17:J17"/>
    <mergeCell ref="B12:B13"/>
    <mergeCell ref="B5:C5"/>
    <mergeCell ref="B6:C6"/>
  </mergeCells>
  <conditionalFormatting sqref="E22:K36">
    <cfRule type="expression" dxfId="33" priority="1">
      <formula>$B$9="Superstructure Replacement"</formula>
    </cfRule>
  </conditionalFormatting>
  <conditionalFormatting sqref="G25:H29 J25:K29 G6:J9">
    <cfRule type="expression" dxfId="32" priority="5">
      <formula>G6&lt;&gt;$F6</formula>
    </cfRule>
  </conditionalFormatting>
  <dataValidations count="3">
    <dataValidation type="list" allowBlank="1" showInputMessage="1" showErrorMessage="1" prompt="Select from Dropdown" sqref="B9" xr:uid="{36850CE4-5437-4C92-9492-C86EDECA4ED3}">
      <formula1>$O$2:$O$3</formula1>
    </dataValidation>
    <dataValidation type="list" allowBlank="1" showInputMessage="1" showErrorMessage="1" sqref="B14" xr:uid="{784B7D5B-3BA6-4274-BBC8-31D155847F88}">
      <formula1>$Q$2:$Q$11</formula1>
    </dataValidation>
    <dataValidation type="list" allowBlank="1" showInputMessage="1" showErrorMessage="1" sqref="C14" xr:uid="{E4357B7B-8AAE-4E0D-8AF6-4080F6F56CBF}">
      <formula1>$R$2:$R$11</formula1>
    </dataValidation>
  </dataValidations>
  <pageMargins left="0.7" right="0.7" top="0.75" bottom="0.75" header="0.3" footer="0.3"/>
  <pageSetup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F3E2E9-479F-48A0-96D3-3278279D77B8}">
          <x14:formula1>
            <xm:f>'Wall Abutment No. 1'!$AB$2:$AB$4</xm:f>
          </x14:formula1>
          <xm:sqref>F30 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5F55-1EF5-493B-8567-8D9A60A68B5A}">
  <dimension ref="A1:K40"/>
  <sheetViews>
    <sheetView zoomScale="85" zoomScaleNormal="85" workbookViewId="0">
      <selection activeCell="N21" sqref="N21"/>
    </sheetView>
  </sheetViews>
  <sheetFormatPr defaultRowHeight="15" x14ac:dyDescent="0.25"/>
  <cols>
    <col min="1" max="1" width="30.7109375" customWidth="1"/>
    <col min="2" max="5" width="15.7109375" customWidth="1"/>
    <col min="7" max="7" width="30.7109375" customWidth="1"/>
    <col min="8" max="9" width="15.7109375" customWidth="1"/>
    <col min="10" max="10" width="30.7109375" customWidth="1"/>
    <col min="11" max="11" width="15.7109375" customWidth="1"/>
  </cols>
  <sheetData>
    <row r="1" spans="1:11" ht="18.75" x14ac:dyDescent="0.3">
      <c r="A1" s="167" t="s">
        <v>433</v>
      </c>
      <c r="B1" s="167"/>
      <c r="C1" s="167"/>
      <c r="D1" s="167"/>
      <c r="E1" s="167"/>
      <c r="F1" s="107"/>
      <c r="G1" s="167" t="s">
        <v>440</v>
      </c>
      <c r="H1" s="167"/>
      <c r="I1" s="167"/>
      <c r="J1" s="167"/>
      <c r="K1" s="167"/>
    </row>
    <row r="2" spans="1:11" ht="18.75" x14ac:dyDescent="0.3">
      <c r="A2" s="107"/>
      <c r="B2" s="107"/>
      <c r="C2" s="107"/>
      <c r="D2" s="107"/>
      <c r="E2" s="107"/>
    </row>
    <row r="3" spans="1:11" ht="15.75" x14ac:dyDescent="0.25">
      <c r="A3" s="94" t="s">
        <v>434</v>
      </c>
      <c r="B3" s="118" t="str">
        <f>BridgeInformation!B9</f>
        <v>Full Replacement</v>
      </c>
      <c r="C3" s="119"/>
    </row>
    <row r="4" spans="1:11" ht="15.75" x14ac:dyDescent="0.25">
      <c r="A4" s="94"/>
    </row>
    <row r="5" spans="1:11" ht="30" customHeight="1" x14ac:dyDescent="0.25">
      <c r="A5" s="174" t="s">
        <v>425</v>
      </c>
      <c r="B5" s="175"/>
      <c r="C5" s="176" t="s">
        <v>431</v>
      </c>
      <c r="D5" s="174"/>
      <c r="E5" s="174"/>
      <c r="G5" s="166" t="s">
        <v>431</v>
      </c>
      <c r="H5" s="166"/>
      <c r="I5" s="166"/>
      <c r="J5" s="166"/>
      <c r="K5" s="166"/>
    </row>
    <row r="6" spans="1:11" ht="27" customHeight="1" x14ac:dyDescent="0.25">
      <c r="A6" s="4" t="s">
        <v>353</v>
      </c>
      <c r="B6" s="120">
        <f>BridgeInformation!B5</f>
        <v>0</v>
      </c>
      <c r="C6" s="168" t="s">
        <v>367</v>
      </c>
      <c r="D6" s="169"/>
      <c r="E6" s="75" t="str" cm="1">
        <f t="array" ref="E6:E13">IF(BridgeInformation!G14=TRUE,BridgeInformation!G4:G11,IF(BridgeInformation!H14=TRUE,BridgeInformation!H4:H11,IF(BridgeInformation!I14=TRUE,BridgeInformation!I4:I11,IF(BridgeInformation!J14=TRUE,BridgeInformation!J4:J11))))</f>
        <v>Slab</v>
      </c>
      <c r="G6" s="170" t="s">
        <v>436</v>
      </c>
      <c r="H6" s="170"/>
      <c r="I6" s="73"/>
      <c r="J6" s="172" t="s">
        <v>438</v>
      </c>
      <c r="K6" s="173"/>
    </row>
    <row r="7" spans="1:11" ht="27" customHeight="1" x14ac:dyDescent="0.25">
      <c r="A7" s="4" t="s">
        <v>354</v>
      </c>
      <c r="B7" s="120">
        <f>BridgeInformation!B6</f>
        <v>0</v>
      </c>
      <c r="C7" s="168" t="s">
        <v>428</v>
      </c>
      <c r="D7" s="169"/>
      <c r="E7" s="92" t="str">
        <v>Slab</v>
      </c>
      <c r="G7" s="4" t="s">
        <v>437</v>
      </c>
      <c r="H7" s="52" t="str" cm="1">
        <f t="array" ref="H7:H13">IF(BridgeInformation!G32=TRUE,BridgeInformation!G24:G30,IF(BridgeInformation!H32=TRUE,BridgeInformation!H24:H30))</f>
        <v xml:space="preserve">End Bent </v>
      </c>
      <c r="J7" s="4" t="s">
        <v>437</v>
      </c>
      <c r="K7" s="52" t="str" cm="1">
        <f t="array" ref="K7:K13">IF(BridgeInformation!K32=TRUE,BridgeInformation!K24:K30,IF(BridgeInformation!J32=TRUE,BridgeInformation!J24:J30))</f>
        <v xml:space="preserve">Wall Abutment </v>
      </c>
    </row>
    <row r="8" spans="1:11" ht="27" customHeight="1" x14ac:dyDescent="0.25">
      <c r="A8" s="4" t="s">
        <v>355</v>
      </c>
      <c r="B8" s="120">
        <f>BridgeInformation!B7</f>
        <v>0</v>
      </c>
      <c r="C8" s="168" t="s">
        <v>381</v>
      </c>
      <c r="D8" s="169"/>
      <c r="E8" s="92">
        <v>32</v>
      </c>
      <c r="G8" s="4" t="s">
        <v>415</v>
      </c>
      <c r="H8" s="52">
        <v>24</v>
      </c>
      <c r="J8" s="4" t="s">
        <v>415</v>
      </c>
      <c r="K8" s="4">
        <v>24</v>
      </c>
    </row>
    <row r="9" spans="1:11" ht="27" customHeight="1" x14ac:dyDescent="0.25">
      <c r="A9" s="4" t="s">
        <v>356</v>
      </c>
      <c r="B9" s="120">
        <f>BridgeInformation!B8</f>
        <v>0</v>
      </c>
      <c r="C9" s="168" t="s">
        <v>382</v>
      </c>
      <c r="D9" s="169"/>
      <c r="E9" s="92">
        <v>24</v>
      </c>
      <c r="G9" s="4" t="s">
        <v>411</v>
      </c>
      <c r="H9" s="52">
        <v>32</v>
      </c>
      <c r="J9" s="4" t="s">
        <v>411</v>
      </c>
      <c r="K9" s="4">
        <v>32</v>
      </c>
    </row>
    <row r="10" spans="1:11" ht="27" customHeight="1" x14ac:dyDescent="0.25">
      <c r="A10" s="4" t="s">
        <v>364</v>
      </c>
      <c r="B10" s="120" t="str">
        <f>BridgeInformation!B9</f>
        <v>Full Replacement</v>
      </c>
      <c r="C10" s="168" t="s">
        <v>363</v>
      </c>
      <c r="D10" s="169"/>
      <c r="E10" s="92">
        <v>1</v>
      </c>
      <c r="G10" s="4" t="s">
        <v>416</v>
      </c>
      <c r="H10" s="52">
        <v>15</v>
      </c>
      <c r="J10" s="4" t="s">
        <v>416</v>
      </c>
      <c r="K10" s="4">
        <v>15</v>
      </c>
    </row>
    <row r="11" spans="1:11" ht="27" customHeight="1" x14ac:dyDescent="0.25">
      <c r="C11" s="169" t="s">
        <v>376</v>
      </c>
      <c r="D11" s="169"/>
      <c r="E11" s="92">
        <v>15</v>
      </c>
      <c r="G11" s="4" t="s">
        <v>402</v>
      </c>
      <c r="H11" s="52">
        <v>10</v>
      </c>
      <c r="J11" s="4" t="s">
        <v>402</v>
      </c>
      <c r="K11" s="4">
        <v>10</v>
      </c>
    </row>
    <row r="12" spans="1:11" ht="27" customHeight="1" x14ac:dyDescent="0.25">
      <c r="C12" s="169" t="s">
        <v>380</v>
      </c>
      <c r="D12" s="169"/>
      <c r="E12" s="92">
        <v>0</v>
      </c>
      <c r="G12" s="4" t="s">
        <v>403</v>
      </c>
      <c r="H12" s="52">
        <v>17</v>
      </c>
      <c r="J12" s="4" t="s">
        <v>403</v>
      </c>
      <c r="K12" s="4">
        <v>17</v>
      </c>
    </row>
    <row r="13" spans="1:11" ht="27" customHeight="1" x14ac:dyDescent="0.25">
      <c r="C13" s="171" t="s">
        <v>379</v>
      </c>
      <c r="D13" s="171"/>
      <c r="E13" s="92">
        <v>17</v>
      </c>
      <c r="G13" s="4" t="s">
        <v>409</v>
      </c>
      <c r="H13" s="52" t="str">
        <v>--</v>
      </c>
      <c r="J13" s="4" t="s">
        <v>409</v>
      </c>
      <c r="K13" s="52">
        <v>50</v>
      </c>
    </row>
    <row r="14" spans="1:11" ht="27" customHeight="1" x14ac:dyDescent="0.25"/>
    <row r="15" spans="1:11" ht="27" customHeight="1" x14ac:dyDescent="0.25">
      <c r="A15" s="94" t="s">
        <v>432</v>
      </c>
      <c r="G15" s="94" t="s">
        <v>450</v>
      </c>
    </row>
    <row r="16" spans="1:11" ht="24.95" customHeight="1" x14ac:dyDescent="0.25">
      <c r="A16" s="108" t="str" cm="1">
        <f t="array" ref="A16:E22">IF(BridgeInformation!G14=TRUE,Slab!A21:E27,IF(BridgeInformation!H14=TRUE,BoxBeam!A22:E31,IF(BridgeInformation!I14=TRUE,'Non-CompositeSteel'!A26:E34,IF(BridgeInformation!J14=TRUE,CompositeSteel!A18:E26))))</f>
        <v xml:space="preserve">Item </v>
      </c>
      <c r="B16" s="108" t="str">
        <v>QTY</v>
      </c>
      <c r="C16" s="108" t="str">
        <v>Units</v>
      </c>
      <c r="D16" s="108" t="str">
        <v xml:space="preserve">Unit Price </v>
      </c>
      <c r="E16" s="108" t="str">
        <v xml:space="preserve">Cost </v>
      </c>
      <c r="G16" s="108" t="str" cm="1">
        <f t="array" ref="G16:K23">IF(BridgeInformation!G32=TRUE,'End Bent No. 1'!A15:E22,IF(BridgeInformation!H32=TRUE,'Wall Abutment No. 1'!A14:E19))</f>
        <v xml:space="preserve">Item </v>
      </c>
      <c r="H16" s="108" t="str">
        <v>QTY</v>
      </c>
      <c r="I16" s="108" t="str">
        <v>Units</v>
      </c>
      <c r="J16" s="108" t="str">
        <v xml:space="preserve">Unit Price </v>
      </c>
      <c r="K16" s="108" t="str">
        <v xml:space="preserve">Cost </v>
      </c>
    </row>
    <row r="17" spans="1:11" ht="21.95" customHeight="1" x14ac:dyDescent="0.25">
      <c r="A17" t="str">
        <v>Class AA Concrete</v>
      </c>
      <c r="B17" s="113">
        <v>41.717795714302603</v>
      </c>
      <c r="C17" s="114" t="str">
        <v>CY</v>
      </c>
      <c r="D17" s="115">
        <v>2000</v>
      </c>
      <c r="E17" s="109">
        <v>83435.591428605214</v>
      </c>
      <c r="G17" s="103" t="str">
        <v>Class A Concrete</v>
      </c>
      <c r="H17">
        <v>12.9</v>
      </c>
      <c r="I17" t="str">
        <v>CY</v>
      </c>
      <c r="J17" s="134">
        <v>1300</v>
      </c>
      <c r="K17" s="134">
        <v>16770</v>
      </c>
    </row>
    <row r="18" spans="1:11" ht="21.95" customHeight="1" x14ac:dyDescent="0.25">
      <c r="A18" t="str">
        <v>Epoxy Coated Steel Reinforcement</v>
      </c>
      <c r="B18" s="113">
        <v>11046.493436501763</v>
      </c>
      <c r="C18" s="114" t="str">
        <v>lbs</v>
      </c>
      <c r="D18" s="115">
        <v>2.1</v>
      </c>
      <c r="E18" s="109">
        <v>23197.636216653704</v>
      </c>
      <c r="G18" s="103" t="str">
        <v>Epoxy Coated Steel Reinforcement</v>
      </c>
      <c r="H18">
        <v>1340</v>
      </c>
      <c r="I18" t="str">
        <v>lbs</v>
      </c>
      <c r="J18" s="134">
        <v>2.1</v>
      </c>
      <c r="K18" s="134">
        <v>2814</v>
      </c>
    </row>
    <row r="19" spans="1:11" ht="21.95" customHeight="1" x14ac:dyDescent="0.25">
      <c r="A19" t="str">
        <v>Armored Edge</v>
      </c>
      <c r="B19" s="113">
        <v>50</v>
      </c>
      <c r="C19" s="114" t="str">
        <v>LF</v>
      </c>
      <c r="D19" s="116">
        <v>133.49</v>
      </c>
      <c r="E19" s="109">
        <v>6674.5</v>
      </c>
      <c r="G19" s="103" t="str">
        <v>HP12x53 Piling  (4 x 10 ft)</v>
      </c>
      <c r="H19">
        <v>40</v>
      </c>
      <c r="I19" t="str">
        <v>LF</v>
      </c>
      <c r="J19" s="134">
        <v>88.94</v>
      </c>
      <c r="K19" s="134">
        <v>3557.6</v>
      </c>
    </row>
    <row r="20" spans="1:11" ht="21.95" customHeight="1" x14ac:dyDescent="0.25">
      <c r="A20" t="str">
        <v>Railing System Type II</v>
      </c>
      <c r="B20" s="113">
        <v>64</v>
      </c>
      <c r="C20" s="114" t="str">
        <v>LF</v>
      </c>
      <c r="D20" s="115">
        <v>240</v>
      </c>
      <c r="E20" s="109">
        <v>15360</v>
      </c>
      <c r="G20" s="103" t="str">
        <v>16-inch Pipe Pile  (4 x 10 ft)</v>
      </c>
      <c r="H20">
        <v>0</v>
      </c>
      <c r="I20" t="str">
        <v>LF</v>
      </c>
      <c r="J20" s="134">
        <v>88.94</v>
      </c>
      <c r="K20" s="134">
        <v>0</v>
      </c>
    </row>
    <row r="21" spans="1:11" ht="21.95" customHeight="1" x14ac:dyDescent="0.25">
      <c r="A21" t="str">
        <v>Structure Excavation Common</v>
      </c>
      <c r="B21" s="113">
        <v>4</v>
      </c>
      <c r="C21" s="114" t="str">
        <v>CY</v>
      </c>
      <c r="D21" s="115">
        <v>83.89</v>
      </c>
      <c r="E21" s="109">
        <v>0</v>
      </c>
      <c r="G21" s="103" t="str">
        <v>Foundation Preparation</v>
      </c>
      <c r="H21">
        <v>1</v>
      </c>
      <c r="I21" t="str">
        <v>LUMP</v>
      </c>
      <c r="J21" s="134">
        <v>15000</v>
      </c>
      <c r="K21" s="134">
        <v>15000</v>
      </c>
    </row>
    <row r="22" spans="1:11" ht="21.95" customHeight="1" x14ac:dyDescent="0.25">
      <c r="A22" t="str">
        <v xml:space="preserve">Total Cost </v>
      </c>
      <c r="B22" s="113" t="str">
        <v>-</v>
      </c>
      <c r="C22" s="114" t="str">
        <v>-</v>
      </c>
      <c r="D22" s="115" t="str">
        <v>-</v>
      </c>
      <c r="E22" s="109">
        <v>128667.72764525891</v>
      </c>
      <c r="G22" s="103" t="str">
        <v>Cyclopean Stone Rip Rap with Geotextile Fabric (If Applicable)</v>
      </c>
      <c r="H22">
        <v>0</v>
      </c>
      <c r="I22" t="str">
        <v>TON</v>
      </c>
      <c r="J22" s="134">
        <v>54.77</v>
      </c>
      <c r="K22" s="134">
        <v>0</v>
      </c>
    </row>
    <row r="23" spans="1:11" ht="21.95" customHeight="1" x14ac:dyDescent="0.25">
      <c r="B23" s="113"/>
      <c r="C23" s="114"/>
      <c r="D23" s="115"/>
      <c r="E23" s="109"/>
      <c r="G23" s="93" t="str">
        <v xml:space="preserve">Total Cost </v>
      </c>
      <c r="H23" t="str">
        <v>-</v>
      </c>
      <c r="I23" t="str">
        <v>-</v>
      </c>
      <c r="J23" s="134" t="str">
        <v>-</v>
      </c>
      <c r="K23" s="134">
        <v>38141.599999999999</v>
      </c>
    </row>
    <row r="24" spans="1:11" ht="21.95" customHeight="1" x14ac:dyDescent="0.25">
      <c r="B24" s="113"/>
      <c r="C24" s="114"/>
      <c r="D24" s="115"/>
      <c r="E24" s="109"/>
    </row>
    <row r="25" spans="1:11" ht="21.95" customHeight="1" x14ac:dyDescent="0.25">
      <c r="A25" s="110"/>
      <c r="B25" s="117"/>
      <c r="C25" s="117"/>
      <c r="D25" s="117"/>
      <c r="E25" s="111"/>
      <c r="G25" s="94" t="s">
        <v>447</v>
      </c>
    </row>
    <row r="26" spans="1:11" ht="21.95" customHeight="1" x14ac:dyDescent="0.25">
      <c r="G26" s="108" t="str" cm="1">
        <f t="array" ref="G26:K31">IF(BridgeInformation!J32=TRUE,'End Bent No. 1'!A15:E22,IF(BridgeInformation!K32=TRUE,'Wall Abutment No. 1'!A14:E19))</f>
        <v xml:space="preserve">Item </v>
      </c>
      <c r="H26" s="108" t="str">
        <v>QTY</v>
      </c>
      <c r="I26" s="108" t="str">
        <v>Units</v>
      </c>
      <c r="J26" s="108" t="str">
        <v xml:space="preserve">Unit Price </v>
      </c>
      <c r="K26" s="108" t="str">
        <v xml:space="preserve">Cost </v>
      </c>
    </row>
    <row r="27" spans="1:11" x14ac:dyDescent="0.25">
      <c r="G27" s="103" t="str">
        <v>Class A Concrete</v>
      </c>
      <c r="H27">
        <v>100.88159999999999</v>
      </c>
      <c r="I27" t="str">
        <v>CY</v>
      </c>
      <c r="J27" s="134">
        <v>1300</v>
      </c>
      <c r="K27" s="134">
        <v>131146.07999999999</v>
      </c>
    </row>
    <row r="28" spans="1:11" ht="27" customHeight="1" x14ac:dyDescent="0.25">
      <c r="A28" s="166" t="s">
        <v>439</v>
      </c>
      <c r="B28" s="166"/>
      <c r="C28" s="166"/>
      <c r="D28" s="166"/>
      <c r="E28" s="166"/>
      <c r="G28" s="103" t="str">
        <v>Epoxy Coated Steel Reinforcement</v>
      </c>
      <c r="H28">
        <v>9123.7360000000008</v>
      </c>
      <c r="I28" t="str">
        <v>LBs</v>
      </c>
      <c r="J28" s="134">
        <v>2.0299999999999998</v>
      </c>
      <c r="K28" s="134">
        <v>18521.184079999999</v>
      </c>
    </row>
    <row r="29" spans="1:11" ht="21.95" customHeight="1" x14ac:dyDescent="0.25">
      <c r="A29" s="121" t="str" cm="1">
        <f t="array" ref="A29:A34">IF(BridgeInformation!G14=TRUE,Slab!A31:A36,IF(BridgeInformation!H14=TRUE,BoxBeam!A34:A44,IF(BridgeInformation!I14=TRUE,'Non-CompositeSteel'!A38:A46,IF(BridgeInformation!J14=TRUE,CompositeSteel!A30:A38))))</f>
        <v>General Notes and Details</v>
      </c>
      <c r="G29" s="103" t="str">
        <v>Foundation Preparation</v>
      </c>
      <c r="H29">
        <v>1</v>
      </c>
      <c r="I29" t="str">
        <v>LUMP</v>
      </c>
      <c r="J29" s="134">
        <v>40000</v>
      </c>
      <c r="K29" s="134">
        <v>40000</v>
      </c>
    </row>
    <row r="30" spans="1:11" ht="21.95" customHeight="1" x14ac:dyDescent="0.25">
      <c r="A30" s="122" t="str">
        <v>BDP-013 Slab Bridge Details</v>
      </c>
      <c r="G30" s="103" t="str">
        <v>Stone Rip Rap with Geotextile Fabric (If Applicable)</v>
      </c>
      <c r="H30">
        <v>0</v>
      </c>
      <c r="I30" t="str">
        <v>TON</v>
      </c>
      <c r="J30" s="134">
        <v>54.77</v>
      </c>
      <c r="K30" s="134">
        <v>0</v>
      </c>
    </row>
    <row r="31" spans="1:11" ht="21.95" customHeight="1" x14ac:dyDescent="0.25">
      <c r="A31" s="122" t="str">
        <v>BJE-001 Neoprene Expansion Dams and Armored Edges</v>
      </c>
      <c r="G31" s="103" t="str">
        <v xml:space="preserve">Total Cost </v>
      </c>
      <c r="H31" t="str">
        <v>-</v>
      </c>
      <c r="I31" t="str">
        <v>-</v>
      </c>
      <c r="J31" s="134" t="str">
        <v>-</v>
      </c>
      <c r="K31" s="134">
        <v>189667.26407999999</v>
      </c>
    </row>
    <row r="32" spans="1:11" ht="21.95" customHeight="1" x14ac:dyDescent="0.25">
      <c r="A32" s="122" t="str">
        <v>Miscellaneous Items</v>
      </c>
      <c r="G32" s="103"/>
      <c r="J32" s="134"/>
      <c r="K32" s="134"/>
    </row>
    <row r="33" spans="1:11" ht="21.95" customHeight="1" x14ac:dyDescent="0.25">
      <c r="A33" s="122" t="str">
        <v>BDP-005 Railing System Type II Details</v>
      </c>
      <c r="G33" s="93"/>
      <c r="J33" s="134"/>
      <c r="K33" s="134"/>
    </row>
    <row r="34" spans="1:11" ht="21.95" customHeight="1" x14ac:dyDescent="0.25">
      <c r="A34" s="122" t="str">
        <v>Sepia 001 Railing System Type II Guardrail Treatment</v>
      </c>
    </row>
    <row r="35" spans="1:11" ht="21.95" customHeight="1" x14ac:dyDescent="0.25">
      <c r="A35" s="122"/>
      <c r="G35" s="166" t="s">
        <v>446</v>
      </c>
      <c r="H35" s="166"/>
      <c r="I35" s="166"/>
      <c r="J35" s="166"/>
    </row>
    <row r="36" spans="1:11" ht="21.95" customHeight="1" x14ac:dyDescent="0.25">
      <c r="A36" s="122"/>
      <c r="G36" s="123" t="str" cm="1">
        <f t="array" ref="G36:G38">IF(BridgeInformation!G32=TRUE,'End Bent No. 1'!A26:A28,IF(BridgeInformation!H32=TRUE,'Wall Abutment No. 1'!A23:A25))</f>
        <v>General Notes and Details</v>
      </c>
    </row>
    <row r="37" spans="1:11" ht="21.95" customHeight="1" x14ac:dyDescent="0.25">
      <c r="A37" s="122"/>
      <c r="G37" s="93" t="str">
        <v>BSE-002 Pile end Bent 15° Skew</v>
      </c>
    </row>
    <row r="38" spans="1:11" ht="21.95" customHeight="1" x14ac:dyDescent="0.25">
      <c r="A38" s="122"/>
      <c r="G38" s="93" t="str">
        <v>BPS-003 HP12x53 Steel Pile</v>
      </c>
    </row>
    <row r="39" spans="1:11" ht="21.95" customHeight="1" x14ac:dyDescent="0.25">
      <c r="A39" s="122"/>
      <c r="G39" s="93" t="str" cm="1">
        <f t="array" ref="G39:G40">IF(BridgeInformation!G32=BridgeInformation!J32,"",IF(BridgeInformation!H32=TRUE,'End Bent No. 1'!A27:A28,'Wall Abutment No. 1'!A24:A25))</f>
        <v>BSA-023 15° Skew Variable Width Abutment 50% Skewed Wings</v>
      </c>
    </row>
    <row r="40" spans="1:11" ht="21.95" customHeight="1" x14ac:dyDescent="0.25">
      <c r="A40" s="93"/>
      <c r="G40" s="93" t="str">
        <v>BSA-024 15° Skew Variable Width Abutment 50% Skewed Wings</v>
      </c>
    </row>
  </sheetData>
  <mergeCells count="17">
    <mergeCell ref="C5:E5"/>
    <mergeCell ref="G35:J35"/>
    <mergeCell ref="G1:K1"/>
    <mergeCell ref="A1:E1"/>
    <mergeCell ref="C6:D6"/>
    <mergeCell ref="C7:D7"/>
    <mergeCell ref="C8:D8"/>
    <mergeCell ref="A28:E28"/>
    <mergeCell ref="C10:D10"/>
    <mergeCell ref="C11:D11"/>
    <mergeCell ref="G6:H6"/>
    <mergeCell ref="G5:K5"/>
    <mergeCell ref="C12:D12"/>
    <mergeCell ref="C13:D13"/>
    <mergeCell ref="C9:D9"/>
    <mergeCell ref="J6:K6"/>
    <mergeCell ref="A5:B5"/>
  </mergeCells>
  <conditionalFormatting sqref="A29:C39">
    <cfRule type="expression" dxfId="21" priority="8">
      <formula>$A29="General Notes and Details"</formula>
    </cfRule>
    <cfRule type="expression" dxfId="20" priority="9">
      <formula>$A29="Miscellaneous Items"</formula>
    </cfRule>
  </conditionalFormatting>
  <conditionalFormatting sqref="G30">
    <cfRule type="expression" dxfId="19" priority="39">
      <formula>$G30="General Notes and Details"</formula>
    </cfRule>
    <cfRule type="expression" dxfId="18" priority="40">
      <formula>$A31="Miscellaneous Items"</formula>
    </cfRule>
  </conditionalFormatting>
  <conditionalFormatting sqref="G15:K33">
    <cfRule type="expression" dxfId="17" priority="2">
      <formula>$B$3="Superstructure Replacement"</formula>
    </cfRule>
  </conditionalFormatting>
  <conditionalFormatting sqref="G20:I20">
    <cfRule type="expression" dxfId="16" priority="6">
      <formula>$G20="General Notes and Details"</formula>
    </cfRule>
    <cfRule type="expression" dxfId="15" priority="12">
      <formula>$A22="Miscellaneous Items"</formula>
    </cfRule>
  </conditionalFormatting>
  <conditionalFormatting sqref="G36:I38 G37:G40">
    <cfRule type="expression" dxfId="14" priority="44">
      <formula>$G36="General Notes and Details"</formula>
    </cfRule>
    <cfRule type="expression" dxfId="13" priority="45">
      <formula>$A19="Miscellaneous Items"</formula>
    </cfRule>
  </conditionalFormatting>
  <conditionalFormatting sqref="G1:K14 H15:K15 K17:K19 G20:K23 H25:K25 H27:K28 K29:K33 G35 K35:K39 G36:J38 G37:G40">
    <cfRule type="expression" dxfId="12" priority="5">
      <formula>$B$3="Superstructure Replacement"</formula>
    </cfRule>
  </conditionalFormatting>
  <conditionalFormatting sqref="G25:K33">
    <cfRule type="expression" dxfId="11" priority="1">
      <formula>$B$3="Superstructure Replacement"</formula>
    </cfRule>
  </conditionalFormatting>
  <pageMargins left="0.7" right="0.7" top="0.75" bottom="0.75" header="0.3" footer="0.3"/>
  <pageSetup scale="70" orientation="portrait" horizontalDpi="1200" verticalDpi="1200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21A4-CCE3-4666-8639-4A7E2453CA0F}">
  <sheetPr codeName="Sheet1"/>
  <dimension ref="A1:U36"/>
  <sheetViews>
    <sheetView topLeftCell="A13" workbookViewId="0">
      <selection activeCell="A30" sqref="A30:A36"/>
    </sheetView>
  </sheetViews>
  <sheetFormatPr defaultRowHeight="15" x14ac:dyDescent="0.25"/>
  <cols>
    <col min="1" max="1" width="54.7109375" bestFit="1" customWidth="1"/>
    <col min="2" max="2" width="12" bestFit="1" customWidth="1"/>
    <col min="3" max="3" width="8" bestFit="1" customWidth="1"/>
    <col min="4" max="4" width="12" bestFit="1" customWidth="1"/>
    <col min="5" max="5" width="13.5703125" bestFit="1" customWidth="1"/>
    <col min="6" max="7" width="12" bestFit="1" customWidth="1"/>
    <col min="13" max="13" width="0" hidden="1" customWidth="1"/>
    <col min="14" max="14" width="9.140625" hidden="1" customWidth="1"/>
    <col min="15" max="15" width="12.5703125" hidden="1" customWidth="1"/>
    <col min="16" max="21" width="9.140625" hidden="1" customWidth="1"/>
  </cols>
  <sheetData>
    <row r="1" spans="1:21" ht="17.25" x14ac:dyDescent="0.3">
      <c r="A1" s="33" t="s">
        <v>43</v>
      </c>
      <c r="B1" s="34"/>
      <c r="C1" s="183" t="s">
        <v>63</v>
      </c>
      <c r="D1" s="183"/>
      <c r="E1" s="183"/>
      <c r="F1" s="183"/>
      <c r="N1" t="s">
        <v>46</v>
      </c>
    </row>
    <row r="2" spans="1:21" x14ac:dyDescent="0.25">
      <c r="A2" s="4" t="s">
        <v>0</v>
      </c>
      <c r="B2" s="4">
        <f>BridgeInformation!C16</f>
        <v>24</v>
      </c>
      <c r="C2" s="184"/>
      <c r="D2" s="185"/>
      <c r="E2" s="185"/>
      <c r="F2" s="186"/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</row>
    <row r="3" spans="1:21" x14ac:dyDescent="0.25">
      <c r="A3" s="4" t="s">
        <v>1</v>
      </c>
      <c r="B3" s="12">
        <f>BridgeInformation!C15</f>
        <v>32</v>
      </c>
      <c r="C3" s="184"/>
      <c r="D3" s="185"/>
      <c r="E3" s="185"/>
      <c r="F3" s="186"/>
      <c r="N3">
        <v>12</v>
      </c>
      <c r="O3">
        <v>14</v>
      </c>
      <c r="P3">
        <v>8</v>
      </c>
      <c r="Q3">
        <v>5</v>
      </c>
      <c r="R3">
        <v>6</v>
      </c>
      <c r="S3">
        <v>9</v>
      </c>
      <c r="T3">
        <f t="shared" ref="T3:T17" si="0">VLOOKUP(P3,N$21:O$31,2,FALSE)</f>
        <v>2.67</v>
      </c>
      <c r="U3">
        <f t="shared" ref="U3:U17" si="1">VLOOKUP(R3,N$21:O$31,2,FALSE)</f>
        <v>1.502</v>
      </c>
    </row>
    <row r="4" spans="1:21" x14ac:dyDescent="0.25">
      <c r="A4" s="4" t="s">
        <v>2</v>
      </c>
      <c r="B4" s="4">
        <f>BridgeInformation!C19</f>
        <v>15</v>
      </c>
      <c r="C4" s="184"/>
      <c r="D4" s="185"/>
      <c r="E4" s="185"/>
      <c r="F4" s="186"/>
      <c r="N4">
        <v>14</v>
      </c>
      <c r="O4">
        <v>16</v>
      </c>
      <c r="P4">
        <v>9</v>
      </c>
      <c r="Q4">
        <v>5</v>
      </c>
      <c r="R4">
        <v>6</v>
      </c>
      <c r="S4">
        <v>8</v>
      </c>
      <c r="T4">
        <f t="shared" si="0"/>
        <v>3.4</v>
      </c>
      <c r="U4">
        <f t="shared" si="1"/>
        <v>1.502</v>
      </c>
    </row>
    <row r="5" spans="1:21" x14ac:dyDescent="0.25">
      <c r="A5" s="4" t="s">
        <v>9</v>
      </c>
      <c r="B5" s="4">
        <f>B2-1</f>
        <v>23</v>
      </c>
      <c r="C5" s="177" t="s">
        <v>102</v>
      </c>
      <c r="D5" s="178"/>
      <c r="E5" s="178"/>
      <c r="F5" s="179"/>
      <c r="N5">
        <v>16</v>
      </c>
      <c r="O5">
        <v>16</v>
      </c>
      <c r="P5">
        <v>9</v>
      </c>
      <c r="Q5">
        <v>5</v>
      </c>
      <c r="R5">
        <v>6</v>
      </c>
      <c r="S5">
        <v>8</v>
      </c>
      <c r="T5">
        <f t="shared" si="0"/>
        <v>3.4</v>
      </c>
      <c r="U5">
        <f t="shared" si="1"/>
        <v>1.502</v>
      </c>
    </row>
    <row r="6" spans="1:21" x14ac:dyDescent="0.25">
      <c r="A6" s="4" t="s">
        <v>20</v>
      </c>
      <c r="B6" s="4">
        <f>ROUND(B5/2,0)*2</f>
        <v>24</v>
      </c>
      <c r="C6" s="177" t="s">
        <v>101</v>
      </c>
      <c r="D6" s="178"/>
      <c r="E6" s="178"/>
      <c r="F6" s="179"/>
      <c r="N6">
        <v>18</v>
      </c>
      <c r="O6">
        <v>16</v>
      </c>
      <c r="P6">
        <v>9</v>
      </c>
      <c r="Q6">
        <v>5</v>
      </c>
      <c r="R6">
        <v>6</v>
      </c>
      <c r="S6">
        <v>9</v>
      </c>
      <c r="T6">
        <f t="shared" si="0"/>
        <v>3.4</v>
      </c>
      <c r="U6">
        <f t="shared" si="1"/>
        <v>1.502</v>
      </c>
    </row>
    <row r="7" spans="1:21" x14ac:dyDescent="0.25">
      <c r="A7" s="4" t="s">
        <v>79</v>
      </c>
      <c r="B7" s="12">
        <f>B2/COS(RADIANS(B4))</f>
        <v>24.846628329841991</v>
      </c>
      <c r="C7" s="177" t="s">
        <v>174</v>
      </c>
      <c r="D7" s="178"/>
      <c r="E7" s="178"/>
      <c r="F7" s="179"/>
      <c r="N7">
        <v>20</v>
      </c>
      <c r="O7">
        <v>17</v>
      </c>
      <c r="P7">
        <v>9</v>
      </c>
      <c r="Q7">
        <v>5</v>
      </c>
      <c r="R7">
        <v>6</v>
      </c>
      <c r="S7">
        <v>9</v>
      </c>
      <c r="T7">
        <f t="shared" si="0"/>
        <v>3.4</v>
      </c>
      <c r="U7">
        <f t="shared" si="1"/>
        <v>1.502</v>
      </c>
    </row>
    <row r="8" spans="1:21" x14ac:dyDescent="0.25">
      <c r="A8" s="4" t="s">
        <v>80</v>
      </c>
      <c r="B8" s="12">
        <f>COS(RADIANS(B4))*B3</f>
        <v>30.909626441250186</v>
      </c>
      <c r="C8" s="180" t="s">
        <v>174</v>
      </c>
      <c r="D8" s="181"/>
      <c r="E8" s="181"/>
      <c r="F8" s="182"/>
      <c r="N8">
        <v>22</v>
      </c>
      <c r="O8">
        <v>17</v>
      </c>
      <c r="P8">
        <v>10</v>
      </c>
      <c r="Q8">
        <v>5</v>
      </c>
      <c r="R8">
        <v>6</v>
      </c>
      <c r="S8">
        <v>8</v>
      </c>
      <c r="T8">
        <f t="shared" si="0"/>
        <v>4.3029999999999999</v>
      </c>
      <c r="U8">
        <f t="shared" si="1"/>
        <v>1.502</v>
      </c>
    </row>
    <row r="9" spans="1:21" x14ac:dyDescent="0.25">
      <c r="N9">
        <v>24</v>
      </c>
      <c r="O9">
        <v>17</v>
      </c>
      <c r="P9">
        <v>10</v>
      </c>
      <c r="Q9">
        <v>5</v>
      </c>
      <c r="R9">
        <v>6</v>
      </c>
      <c r="S9">
        <v>8</v>
      </c>
      <c r="T9">
        <f t="shared" si="0"/>
        <v>4.3029999999999999</v>
      </c>
      <c r="U9">
        <f t="shared" si="1"/>
        <v>1.502</v>
      </c>
    </row>
    <row r="10" spans="1:21" x14ac:dyDescent="0.25">
      <c r="A10" t="s">
        <v>45</v>
      </c>
      <c r="N10">
        <v>26</v>
      </c>
      <c r="O10">
        <v>18</v>
      </c>
      <c r="P10">
        <v>10</v>
      </c>
      <c r="Q10">
        <v>5</v>
      </c>
      <c r="R10">
        <v>6</v>
      </c>
      <c r="S10">
        <v>8</v>
      </c>
      <c r="T10">
        <f t="shared" si="0"/>
        <v>4.3029999999999999</v>
      </c>
      <c r="U10">
        <f t="shared" si="1"/>
        <v>1.502</v>
      </c>
    </row>
    <row r="11" spans="1:21" x14ac:dyDescent="0.25">
      <c r="A11" s="3" t="s">
        <v>25</v>
      </c>
      <c r="B11" s="3" t="s">
        <v>17</v>
      </c>
      <c r="C11" s="3" t="s">
        <v>5</v>
      </c>
      <c r="D11" s="3" t="s">
        <v>21</v>
      </c>
      <c r="E11" s="3" t="s">
        <v>7</v>
      </c>
      <c r="F11" s="3" t="s">
        <v>8</v>
      </c>
      <c r="G11" s="3" t="s">
        <v>23</v>
      </c>
      <c r="N11">
        <v>28</v>
      </c>
      <c r="O11">
        <v>19</v>
      </c>
      <c r="P11">
        <v>10</v>
      </c>
      <c r="Q11">
        <v>5</v>
      </c>
      <c r="R11">
        <v>6</v>
      </c>
      <c r="S11">
        <v>9</v>
      </c>
      <c r="T11">
        <f t="shared" si="0"/>
        <v>4.3029999999999999</v>
      </c>
      <c r="U11">
        <f t="shared" si="1"/>
        <v>1.502</v>
      </c>
    </row>
    <row r="12" spans="1:21" x14ac:dyDescent="0.25">
      <c r="A12" s="4" t="s">
        <v>3</v>
      </c>
      <c r="B12" s="4">
        <v>5</v>
      </c>
      <c r="C12" s="4">
        <v>12</v>
      </c>
      <c r="D12" s="12">
        <f>B8-4/12</f>
        <v>30.576293107916854</v>
      </c>
      <c r="E12" s="16">
        <f>ROUNDUP((B7-0.33)/(C12/12),0)</f>
        <v>25</v>
      </c>
      <c r="F12" s="16">
        <f>E12*D12</f>
        <v>764.40732769792135</v>
      </c>
      <c r="G12" s="16">
        <f>VLOOKUP(B12,N$21:O$31,2,FALSE)*F12</f>
        <v>797.27684278893196</v>
      </c>
      <c r="N12">
        <v>30</v>
      </c>
      <c r="O12">
        <v>19</v>
      </c>
      <c r="P12">
        <v>11</v>
      </c>
      <c r="Q12">
        <v>5</v>
      </c>
      <c r="R12">
        <v>6</v>
      </c>
      <c r="S12">
        <v>7</v>
      </c>
      <c r="T12">
        <f t="shared" si="0"/>
        <v>5.3129999999999997</v>
      </c>
      <c r="U12">
        <f t="shared" si="1"/>
        <v>1.502</v>
      </c>
    </row>
    <row r="13" spans="1:21" x14ac:dyDescent="0.25">
      <c r="A13" s="4" t="s">
        <v>4</v>
      </c>
      <c r="B13" s="4">
        <v>5</v>
      </c>
      <c r="C13" s="4">
        <v>12</v>
      </c>
      <c r="D13" s="12">
        <f>B7-0.33</f>
        <v>24.516628329841993</v>
      </c>
      <c r="E13" s="16">
        <f>ROUNDUP((B8-0.33)/(C13/12),0)</f>
        <v>31</v>
      </c>
      <c r="F13" s="16">
        <f t="shared" ref="F13:F15" si="2">E13*D13</f>
        <v>760.01547822510179</v>
      </c>
      <c r="G13" s="16">
        <f>VLOOKUP(B13,N$21:O$31,2,FALSE)*F13</f>
        <v>792.69614378878111</v>
      </c>
      <c r="N13">
        <v>32</v>
      </c>
      <c r="O13">
        <v>19</v>
      </c>
      <c r="P13">
        <v>11</v>
      </c>
      <c r="Q13">
        <v>5</v>
      </c>
      <c r="R13">
        <v>6</v>
      </c>
      <c r="S13">
        <v>7</v>
      </c>
      <c r="T13">
        <f t="shared" si="0"/>
        <v>5.3129999999999997</v>
      </c>
      <c r="U13">
        <f t="shared" si="1"/>
        <v>1.502</v>
      </c>
    </row>
    <row r="14" spans="1:21" x14ac:dyDescent="0.25">
      <c r="A14" s="4" t="s">
        <v>18</v>
      </c>
      <c r="B14" s="4">
        <f>VLOOKUP(B6,N3:P17,3,FALSE)</f>
        <v>10</v>
      </c>
      <c r="C14" s="4">
        <v>5</v>
      </c>
      <c r="D14" s="12">
        <f>D12</f>
        <v>30.576293107916854</v>
      </c>
      <c r="E14" s="16">
        <f>ROUNDUP((B7-0.33)/(C14/12),0)</f>
        <v>59</v>
      </c>
      <c r="F14" s="16">
        <f t="shared" si="2"/>
        <v>1804.0012933670944</v>
      </c>
      <c r="G14" s="16">
        <f>VLOOKUP(B14,N$21:O$31,2,FALSE)*F14</f>
        <v>7762.617565358607</v>
      </c>
      <c r="N14">
        <v>34</v>
      </c>
      <c r="O14">
        <v>20</v>
      </c>
      <c r="P14">
        <v>11</v>
      </c>
      <c r="Q14">
        <v>5</v>
      </c>
      <c r="R14">
        <v>6</v>
      </c>
      <c r="S14">
        <v>8</v>
      </c>
      <c r="T14">
        <f t="shared" si="0"/>
        <v>5.3129999999999997</v>
      </c>
      <c r="U14">
        <f t="shared" si="1"/>
        <v>1.502</v>
      </c>
    </row>
    <row r="15" spans="1:21" x14ac:dyDescent="0.25">
      <c r="A15" s="4" t="s">
        <v>19</v>
      </c>
      <c r="B15" s="4">
        <v>6</v>
      </c>
      <c r="C15" s="4">
        <f>VLOOKUP(B6,N3:S17,6,FALSE)</f>
        <v>8</v>
      </c>
      <c r="D15" s="12">
        <f>D13</f>
        <v>24.516628329841993</v>
      </c>
      <c r="E15" s="16">
        <f>ROUNDUP((B8-0.33)/(C15/12),0)</f>
        <v>46</v>
      </c>
      <c r="F15" s="16">
        <f t="shared" si="2"/>
        <v>1127.7649031727317</v>
      </c>
      <c r="G15" s="16">
        <f>VLOOKUP(B15,N$21:O$31,2,FALSE)*F15</f>
        <v>1693.9028845654429</v>
      </c>
      <c r="N15">
        <v>36</v>
      </c>
      <c r="O15">
        <v>21</v>
      </c>
      <c r="P15">
        <v>11</v>
      </c>
      <c r="Q15">
        <v>5</v>
      </c>
      <c r="R15">
        <v>6</v>
      </c>
      <c r="S15">
        <v>8</v>
      </c>
      <c r="T15">
        <f t="shared" si="0"/>
        <v>5.3129999999999997</v>
      </c>
      <c r="U15">
        <f t="shared" si="1"/>
        <v>1.502</v>
      </c>
    </row>
    <row r="16" spans="1:21" x14ac:dyDescent="0.25">
      <c r="A16" s="5" t="s">
        <v>22</v>
      </c>
      <c r="B16" s="5"/>
      <c r="C16" s="5"/>
      <c r="D16" s="5"/>
      <c r="E16" s="5"/>
      <c r="F16" s="5"/>
      <c r="G16" s="6">
        <f>SUM(G12:G15)</f>
        <v>11046.493436501763</v>
      </c>
      <c r="N16">
        <v>38</v>
      </c>
      <c r="O16">
        <v>22</v>
      </c>
      <c r="P16">
        <v>11</v>
      </c>
      <c r="Q16">
        <v>5</v>
      </c>
      <c r="R16">
        <v>6</v>
      </c>
      <c r="S16">
        <v>8</v>
      </c>
      <c r="T16">
        <f t="shared" si="0"/>
        <v>5.3129999999999997</v>
      </c>
      <c r="U16">
        <f t="shared" si="1"/>
        <v>1.502</v>
      </c>
    </row>
    <row r="17" spans="1:21" x14ac:dyDescent="0.25">
      <c r="A17" s="4" t="s">
        <v>44</v>
      </c>
      <c r="B17" s="4">
        <f>VLOOKUP(B6,N3:O17,2,FALSE)</f>
        <v>17</v>
      </c>
      <c r="N17">
        <v>40</v>
      </c>
      <c r="O17">
        <v>24</v>
      </c>
      <c r="P17">
        <v>11</v>
      </c>
      <c r="Q17">
        <v>5</v>
      </c>
      <c r="R17">
        <v>6</v>
      </c>
      <c r="S17">
        <v>8</v>
      </c>
      <c r="T17">
        <f t="shared" si="0"/>
        <v>5.3129999999999997</v>
      </c>
      <c r="U17">
        <f t="shared" si="1"/>
        <v>1.502</v>
      </c>
    </row>
    <row r="19" spans="1:21" x14ac:dyDescent="0.25">
      <c r="N19" t="s">
        <v>26</v>
      </c>
    </row>
    <row r="20" spans="1:21" x14ac:dyDescent="0.25">
      <c r="N20" t="s">
        <v>27</v>
      </c>
      <c r="O20" t="s">
        <v>28</v>
      </c>
    </row>
    <row r="21" spans="1:21" ht="15.75" x14ac:dyDescent="0.25">
      <c r="A21" s="7" t="s">
        <v>33</v>
      </c>
      <c r="B21" s="7" t="s">
        <v>31</v>
      </c>
      <c r="C21" s="7" t="s">
        <v>29</v>
      </c>
      <c r="D21" s="7" t="s">
        <v>34</v>
      </c>
      <c r="E21" s="7" t="s">
        <v>35</v>
      </c>
      <c r="N21">
        <v>3</v>
      </c>
      <c r="O21">
        <v>0.376</v>
      </c>
    </row>
    <row r="22" spans="1:21" x14ac:dyDescent="0.25">
      <c r="A22" s="4" t="s">
        <v>30</v>
      </c>
      <c r="B22" s="12">
        <f>(B3*B7*B17/12)/27</f>
        <v>41.717795714302603</v>
      </c>
      <c r="C22" s="4" t="s">
        <v>32</v>
      </c>
      <c r="D22" s="8">
        <v>2000</v>
      </c>
      <c r="E22" s="10">
        <f>D22*B22</f>
        <v>83435.591428605214</v>
      </c>
      <c r="N22">
        <v>4</v>
      </c>
      <c r="O22">
        <v>0.66800000000000004</v>
      </c>
    </row>
    <row r="23" spans="1:21" x14ac:dyDescent="0.25">
      <c r="A23" s="4" t="s">
        <v>36</v>
      </c>
      <c r="B23" s="19">
        <f>G16</f>
        <v>11046.493436501763</v>
      </c>
      <c r="C23" s="4" t="s">
        <v>37</v>
      </c>
      <c r="D23" s="8">
        <v>2.1</v>
      </c>
      <c r="E23" s="10">
        <f>D23*B23</f>
        <v>23197.636216653704</v>
      </c>
      <c r="N23">
        <v>5</v>
      </c>
      <c r="O23">
        <v>1.0429999999999999</v>
      </c>
    </row>
    <row r="24" spans="1:21" x14ac:dyDescent="0.25">
      <c r="A24" s="4" t="s">
        <v>38</v>
      </c>
      <c r="B24" s="4">
        <f>ROUND(2*B7,0)</f>
        <v>50</v>
      </c>
      <c r="C24" s="4" t="s">
        <v>40</v>
      </c>
      <c r="D24" s="8">
        <v>133.49</v>
      </c>
      <c r="E24" s="10">
        <f t="shared" ref="E24:E25" si="3">D24*B24</f>
        <v>6674.5</v>
      </c>
      <c r="N24">
        <v>6</v>
      </c>
      <c r="O24">
        <v>1.502</v>
      </c>
    </row>
    <row r="25" spans="1:21" x14ac:dyDescent="0.25">
      <c r="A25" s="4" t="s">
        <v>39</v>
      </c>
      <c r="B25" s="4">
        <f>ROUND(2*B3,0)</f>
        <v>64</v>
      </c>
      <c r="C25" s="4" t="s">
        <v>40</v>
      </c>
      <c r="D25" s="8">
        <v>240</v>
      </c>
      <c r="E25" s="10">
        <f t="shared" si="3"/>
        <v>15360</v>
      </c>
      <c r="N25">
        <v>7</v>
      </c>
      <c r="O25">
        <v>2.044</v>
      </c>
    </row>
    <row r="26" spans="1:21" x14ac:dyDescent="0.25">
      <c r="A26" s="4" t="s">
        <v>41</v>
      </c>
      <c r="B26" s="4">
        <f>ROUND((((B17/12)^2)*B7*2)/27,0)</f>
        <v>4</v>
      </c>
      <c r="C26" s="4" t="s">
        <v>32</v>
      </c>
      <c r="D26" s="8">
        <v>83.89</v>
      </c>
      <c r="E26" s="10">
        <f>IF(BridgeInformation!$B$9="Superstructure Replacement",D26*B26,0)</f>
        <v>0</v>
      </c>
      <c r="F26" s="14" t="s">
        <v>105</v>
      </c>
      <c r="N26">
        <v>8</v>
      </c>
      <c r="O26">
        <v>2.67</v>
      </c>
    </row>
    <row r="27" spans="1:21" x14ac:dyDescent="0.25">
      <c r="A27" s="5" t="s">
        <v>48</v>
      </c>
      <c r="B27" s="112" t="s">
        <v>435</v>
      </c>
      <c r="C27" s="112" t="s">
        <v>435</v>
      </c>
      <c r="D27" s="112" t="s">
        <v>435</v>
      </c>
      <c r="E27" s="11">
        <f>SUM(E22:E26)</f>
        <v>128667.72764525891</v>
      </c>
      <c r="N27">
        <v>9</v>
      </c>
      <c r="O27">
        <v>3.4</v>
      </c>
    </row>
    <row r="28" spans="1:21" x14ac:dyDescent="0.25">
      <c r="N28">
        <v>10</v>
      </c>
      <c r="O28">
        <v>4.3029999999999999</v>
      </c>
    </row>
    <row r="29" spans="1:21" x14ac:dyDescent="0.25">
      <c r="N29">
        <v>11</v>
      </c>
      <c r="O29">
        <v>5.3129999999999997</v>
      </c>
    </row>
    <row r="30" spans="1:21" ht="17.25" x14ac:dyDescent="0.3">
      <c r="A30" s="55" t="s">
        <v>278</v>
      </c>
      <c r="N30">
        <v>14</v>
      </c>
      <c r="O30">
        <v>7.65</v>
      </c>
    </row>
    <row r="31" spans="1:21" ht="15.75" x14ac:dyDescent="0.25">
      <c r="A31" s="56" t="s">
        <v>283</v>
      </c>
      <c r="N31">
        <v>18</v>
      </c>
      <c r="O31">
        <v>13.6</v>
      </c>
    </row>
    <row r="32" spans="1:21" x14ac:dyDescent="0.25">
      <c r="A32" s="57" t="s">
        <v>282</v>
      </c>
    </row>
    <row r="33" spans="1:1" x14ac:dyDescent="0.25">
      <c r="A33" s="57" t="s">
        <v>281</v>
      </c>
    </row>
    <row r="34" spans="1:1" ht="15.75" x14ac:dyDescent="0.25">
      <c r="A34" s="56" t="s">
        <v>298</v>
      </c>
    </row>
    <row r="35" spans="1:1" x14ac:dyDescent="0.25">
      <c r="A35" s="54" t="s">
        <v>279</v>
      </c>
    </row>
    <row r="36" spans="1:1" x14ac:dyDescent="0.25">
      <c r="A36" s="57" t="s">
        <v>280</v>
      </c>
    </row>
  </sheetData>
  <mergeCells count="8">
    <mergeCell ref="C7:F7"/>
    <mergeCell ref="C8:F8"/>
    <mergeCell ref="C1:F1"/>
    <mergeCell ref="C5:F5"/>
    <mergeCell ref="C6:F6"/>
    <mergeCell ref="C2:F2"/>
    <mergeCell ref="C3:F3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5663-7315-4CDE-B907-14E37F92AA66}">
  <sheetPr codeName="Sheet2"/>
  <dimension ref="A1:S44"/>
  <sheetViews>
    <sheetView workbookViewId="0"/>
  </sheetViews>
  <sheetFormatPr defaultRowHeight="15" x14ac:dyDescent="0.25"/>
  <cols>
    <col min="1" max="1" width="52.42578125" customWidth="1"/>
    <col min="2" max="2" width="12" bestFit="1" customWidth="1"/>
    <col min="3" max="3" width="8" bestFit="1" customWidth="1"/>
    <col min="4" max="4" width="12" bestFit="1" customWidth="1"/>
    <col min="5" max="5" width="12.5703125" bestFit="1" customWidth="1"/>
    <col min="6" max="6" width="14.7109375" customWidth="1"/>
    <col min="7" max="7" width="12" bestFit="1" customWidth="1"/>
    <col min="14" max="14" width="14" hidden="1" customWidth="1"/>
    <col min="15" max="15" width="12.5703125" hidden="1" customWidth="1"/>
    <col min="16" max="16" width="9.140625" hidden="1" customWidth="1"/>
    <col min="17" max="17" width="40.140625" hidden="1" customWidth="1"/>
    <col min="18" max="18" width="0" hidden="1" customWidth="1"/>
    <col min="19" max="19" width="28.7109375" hidden="1" customWidth="1"/>
  </cols>
  <sheetData>
    <row r="1" spans="1:19" ht="17.25" x14ac:dyDescent="0.3">
      <c r="A1" s="2" t="s">
        <v>49</v>
      </c>
      <c r="B1" s="1"/>
      <c r="C1" s="193" t="s">
        <v>63</v>
      </c>
      <c r="D1" s="193"/>
      <c r="E1" s="193"/>
      <c r="F1" s="193"/>
      <c r="N1" t="s">
        <v>60</v>
      </c>
      <c r="O1" t="s">
        <v>81</v>
      </c>
      <c r="P1" t="s">
        <v>35</v>
      </c>
      <c r="R1" t="s">
        <v>9</v>
      </c>
    </row>
    <row r="2" spans="1:19" x14ac:dyDescent="0.25">
      <c r="A2" s="4" t="s">
        <v>0</v>
      </c>
      <c r="B2" s="70">
        <f>BridgeInformation!C16</f>
        <v>24</v>
      </c>
      <c r="C2" s="194" t="s">
        <v>263</v>
      </c>
      <c r="D2" s="195"/>
      <c r="E2" s="195"/>
      <c r="F2" s="196"/>
      <c r="N2" t="s">
        <v>50</v>
      </c>
      <c r="O2">
        <f>RIGHT(N2,2)+5</f>
        <v>17</v>
      </c>
      <c r="P2">
        <v>355</v>
      </c>
      <c r="Q2" s="54" t="s">
        <v>290</v>
      </c>
      <c r="R2">
        <v>34</v>
      </c>
      <c r="S2" t="s">
        <v>50</v>
      </c>
    </row>
    <row r="3" spans="1:19" x14ac:dyDescent="0.25">
      <c r="A3" s="4" t="s">
        <v>1</v>
      </c>
      <c r="B3" s="70">
        <f>BridgeInformation!C15</f>
        <v>32</v>
      </c>
      <c r="C3" s="177" t="s">
        <v>262</v>
      </c>
      <c r="D3" s="178"/>
      <c r="E3" s="178"/>
      <c r="F3" s="179"/>
      <c r="N3" t="s">
        <v>51</v>
      </c>
      <c r="O3">
        <f t="shared" ref="O3:O4" si="0">RIGHT(N3,2)+5</f>
        <v>22</v>
      </c>
      <c r="P3">
        <v>375</v>
      </c>
      <c r="Q3" s="54" t="s">
        <v>291</v>
      </c>
      <c r="R3">
        <v>48</v>
      </c>
      <c r="S3" t="s">
        <v>51</v>
      </c>
    </row>
    <row r="4" spans="1:19" x14ac:dyDescent="0.25">
      <c r="A4" s="4" t="s">
        <v>2</v>
      </c>
      <c r="B4" s="70">
        <f>BridgeInformation!C19</f>
        <v>15</v>
      </c>
      <c r="C4" s="177"/>
      <c r="D4" s="178"/>
      <c r="E4" s="178"/>
      <c r="F4" s="179"/>
      <c r="N4" t="s">
        <v>52</v>
      </c>
      <c r="O4">
        <f t="shared" si="0"/>
        <v>26</v>
      </c>
      <c r="P4">
        <v>390</v>
      </c>
      <c r="Q4" s="54" t="s">
        <v>292</v>
      </c>
      <c r="R4">
        <v>56</v>
      </c>
      <c r="S4" t="s">
        <v>52</v>
      </c>
    </row>
    <row r="5" spans="1:19" x14ac:dyDescent="0.25">
      <c r="A5" s="4" t="s">
        <v>261</v>
      </c>
      <c r="B5" s="50">
        <f>BridgeInformation!C18</f>
        <v>31</v>
      </c>
      <c r="C5" s="177" t="s">
        <v>102</v>
      </c>
      <c r="D5" s="178"/>
      <c r="E5" s="178"/>
      <c r="F5" s="179"/>
      <c r="N5" t="s">
        <v>296</v>
      </c>
      <c r="O5">
        <v>32</v>
      </c>
      <c r="P5">
        <v>390</v>
      </c>
      <c r="Q5" s="54" t="s">
        <v>293</v>
      </c>
      <c r="R5">
        <v>70</v>
      </c>
      <c r="S5" t="s">
        <v>296</v>
      </c>
    </row>
    <row r="6" spans="1:19" x14ac:dyDescent="0.25">
      <c r="A6" s="4" t="s">
        <v>62</v>
      </c>
      <c r="B6" s="50">
        <f>ROUNDUP(B2/4,0)*4</f>
        <v>24</v>
      </c>
      <c r="C6" s="177" t="s">
        <v>103</v>
      </c>
      <c r="D6" s="178"/>
      <c r="E6" s="178"/>
      <c r="F6" s="179"/>
      <c r="N6" t="s">
        <v>53</v>
      </c>
      <c r="O6">
        <f>RIGHT(N6,2)+5</f>
        <v>38</v>
      </c>
      <c r="P6">
        <v>485</v>
      </c>
      <c r="Q6" s="54" t="s">
        <v>294</v>
      </c>
      <c r="R6">
        <v>84</v>
      </c>
      <c r="S6" t="s">
        <v>53</v>
      </c>
    </row>
    <row r="7" spans="1:19" x14ac:dyDescent="0.25">
      <c r="A7" s="71" t="s">
        <v>372</v>
      </c>
      <c r="B7" s="4">
        <f>ROUNDUP(B3/2,0)*2</f>
        <v>32</v>
      </c>
      <c r="N7" t="s">
        <v>54</v>
      </c>
      <c r="O7">
        <f>RIGHT(N7,2)+5</f>
        <v>47</v>
      </c>
      <c r="P7">
        <v>580</v>
      </c>
      <c r="Q7" s="54" t="s">
        <v>289</v>
      </c>
      <c r="R7">
        <v>98</v>
      </c>
      <c r="S7" t="s">
        <v>54</v>
      </c>
    </row>
    <row r="8" spans="1:19" hidden="1" x14ac:dyDescent="0.25">
      <c r="A8" s="4" t="s">
        <v>79</v>
      </c>
      <c r="B8" s="72">
        <f>B6/COS(RADIANS(B4))</f>
        <v>24.846628329841991</v>
      </c>
      <c r="C8" s="177" t="s">
        <v>174</v>
      </c>
      <c r="D8" s="178"/>
      <c r="E8" s="178"/>
      <c r="F8" s="179"/>
      <c r="N8" t="s">
        <v>55</v>
      </c>
      <c r="O8">
        <f>RIGHT(N8,2)*1+1</f>
        <v>13</v>
      </c>
      <c r="P8">
        <v>435</v>
      </c>
      <c r="Q8" s="54" t="s">
        <v>290</v>
      </c>
      <c r="R8">
        <v>26</v>
      </c>
      <c r="S8" t="s">
        <v>55</v>
      </c>
    </row>
    <row r="9" spans="1:19" hidden="1" x14ac:dyDescent="0.25">
      <c r="A9" s="4" t="s">
        <v>80</v>
      </c>
      <c r="B9" s="72">
        <f>COS(RADIANS(B4))*B7</f>
        <v>30.909626441250186</v>
      </c>
      <c r="C9" s="27" t="s">
        <v>174</v>
      </c>
      <c r="D9" s="26"/>
      <c r="E9" s="26"/>
      <c r="F9" s="32"/>
      <c r="N9" t="s">
        <v>56</v>
      </c>
      <c r="O9">
        <f t="shared" ref="O9:O10" si="1">RIGHT(N9,2)*1+1</f>
        <v>18</v>
      </c>
      <c r="P9">
        <v>365</v>
      </c>
      <c r="Q9" s="54" t="s">
        <v>291</v>
      </c>
      <c r="R9">
        <v>42</v>
      </c>
      <c r="S9" t="s">
        <v>56</v>
      </c>
    </row>
    <row r="10" spans="1:19" x14ac:dyDescent="0.25">
      <c r="A10" s="4" t="s">
        <v>78</v>
      </c>
      <c r="B10" s="128" t="str">
        <f>N30</f>
        <v>CB12</v>
      </c>
      <c r="C10" s="27"/>
      <c r="D10" s="26"/>
      <c r="E10" s="26"/>
      <c r="F10" s="32"/>
      <c r="N10" t="s">
        <v>57</v>
      </c>
      <c r="O10">
        <f t="shared" si="1"/>
        <v>22</v>
      </c>
      <c r="P10">
        <v>390</v>
      </c>
      <c r="Q10" s="54" t="s">
        <v>292</v>
      </c>
      <c r="R10">
        <v>50</v>
      </c>
      <c r="S10" t="s">
        <v>57</v>
      </c>
    </row>
    <row r="11" spans="1:19" x14ac:dyDescent="0.25">
      <c r="A11" s="4" t="s">
        <v>61</v>
      </c>
      <c r="B11" s="50">
        <f>B6/4</f>
        <v>6</v>
      </c>
      <c r="C11" s="60"/>
      <c r="D11" s="61"/>
      <c r="E11" s="61"/>
      <c r="F11" s="62"/>
      <c r="N11" t="s">
        <v>297</v>
      </c>
      <c r="O11">
        <v>27</v>
      </c>
      <c r="P11">
        <v>390</v>
      </c>
      <c r="Q11" s="54" t="s">
        <v>293</v>
      </c>
      <c r="R11">
        <v>64</v>
      </c>
      <c r="S11" t="s">
        <v>297</v>
      </c>
    </row>
    <row r="12" spans="1:19" x14ac:dyDescent="0.25">
      <c r="N12" t="s">
        <v>58</v>
      </c>
      <c r="O12">
        <f>RIGHT(N12,2)*1+1</f>
        <v>34</v>
      </c>
      <c r="P12">
        <v>505</v>
      </c>
      <c r="Q12" s="54" t="s">
        <v>294</v>
      </c>
      <c r="R12">
        <v>78</v>
      </c>
      <c r="S12" t="s">
        <v>58</v>
      </c>
    </row>
    <row r="13" spans="1:19" x14ac:dyDescent="0.25">
      <c r="A13" s="23" t="s">
        <v>107</v>
      </c>
      <c r="N13" t="s">
        <v>59</v>
      </c>
      <c r="O13">
        <f>RIGHT(N13,2)*1+1</f>
        <v>43</v>
      </c>
      <c r="P13">
        <v>580</v>
      </c>
      <c r="Q13" s="54" t="s">
        <v>295</v>
      </c>
      <c r="R13">
        <v>96</v>
      </c>
      <c r="S13" t="s">
        <v>59</v>
      </c>
    </row>
    <row r="14" spans="1:19" x14ac:dyDescent="0.25">
      <c r="A14" s="3" t="s">
        <v>25</v>
      </c>
      <c r="B14" s="3" t="s">
        <v>17</v>
      </c>
      <c r="C14" s="3" t="s">
        <v>5</v>
      </c>
      <c r="D14" s="3" t="s">
        <v>21</v>
      </c>
      <c r="E14" s="3" t="s">
        <v>7</v>
      </c>
      <c r="F14" s="3" t="s">
        <v>8</v>
      </c>
      <c r="G14" s="3" t="s">
        <v>23</v>
      </c>
    </row>
    <row r="15" spans="1:19" x14ac:dyDescent="0.25">
      <c r="A15" s="4" t="s">
        <v>3</v>
      </c>
      <c r="B15" s="4">
        <v>5</v>
      </c>
      <c r="C15" s="4">
        <v>12</v>
      </c>
      <c r="D15" s="12">
        <f>B7-3/12</f>
        <v>31.75</v>
      </c>
      <c r="E15" s="16">
        <f>B11*4</f>
        <v>24</v>
      </c>
      <c r="F15" s="16">
        <f>E15*D15</f>
        <v>762</v>
      </c>
      <c r="G15" s="16">
        <f>VLOOKUP(B15,N$17:O$27,2,FALSE)*F15</f>
        <v>765.27660000000003</v>
      </c>
      <c r="N15" t="s">
        <v>26</v>
      </c>
    </row>
    <row r="16" spans="1:19" x14ac:dyDescent="0.25">
      <c r="A16" s="4" t="s">
        <v>4</v>
      </c>
      <c r="B16" s="4">
        <v>5</v>
      </c>
      <c r="C16" s="4">
        <v>12</v>
      </c>
      <c r="D16" s="12">
        <f>B6-3/12</f>
        <v>23.75</v>
      </c>
      <c r="E16" s="16">
        <f>ROUND(B7/(C16/12),0)+1</f>
        <v>33</v>
      </c>
      <c r="F16" s="16">
        <f t="shared" ref="F16" si="2">E16*D16</f>
        <v>783.75</v>
      </c>
      <c r="G16" s="16">
        <f>VLOOKUP(B16,N$17:O$27,2,FALSE)*F16</f>
        <v>787.12012500000003</v>
      </c>
      <c r="N16" t="s">
        <v>27</v>
      </c>
      <c r="O16" t="s">
        <v>28</v>
      </c>
    </row>
    <row r="17" spans="1:15" x14ac:dyDescent="0.25">
      <c r="A17" s="5" t="s">
        <v>22</v>
      </c>
      <c r="B17" s="5"/>
      <c r="C17" s="5"/>
      <c r="D17" s="5"/>
      <c r="E17" s="5"/>
      <c r="F17" s="5"/>
      <c r="G17" s="6">
        <f>SUM(G15:G16)</f>
        <v>1552.3967250000001</v>
      </c>
      <c r="N17">
        <v>3</v>
      </c>
      <c r="O17">
        <v>0.376</v>
      </c>
    </row>
    <row r="18" spans="1:15" x14ac:dyDescent="0.25">
      <c r="A18" s="4" t="s">
        <v>44</v>
      </c>
      <c r="B18" s="4">
        <v>5</v>
      </c>
      <c r="I18" s="63"/>
      <c r="J18" s="63"/>
      <c r="K18" s="63"/>
      <c r="N18">
        <v>4</v>
      </c>
      <c r="O18">
        <v>0.66800000000000004</v>
      </c>
    </row>
    <row r="19" spans="1:15" x14ac:dyDescent="0.25">
      <c r="A19" s="4" t="s">
        <v>383</v>
      </c>
      <c r="B19" s="4">
        <f>RIGHT(B10,2)*1</f>
        <v>12</v>
      </c>
      <c r="N19">
        <v>5</v>
      </c>
      <c r="O19">
        <v>1.0043</v>
      </c>
    </row>
    <row r="20" spans="1:15" x14ac:dyDescent="0.25">
      <c r="N20">
        <v>6</v>
      </c>
      <c r="O20">
        <v>1.502</v>
      </c>
    </row>
    <row r="21" spans="1:15" x14ac:dyDescent="0.25">
      <c r="A21" s="24" t="s">
        <v>106</v>
      </c>
      <c r="N21">
        <v>7</v>
      </c>
      <c r="O21">
        <v>2.044</v>
      </c>
    </row>
    <row r="22" spans="1:15" ht="15.75" x14ac:dyDescent="0.25">
      <c r="A22" s="15" t="s">
        <v>33</v>
      </c>
      <c r="B22" s="15" t="s">
        <v>31</v>
      </c>
      <c r="C22" s="15" t="s">
        <v>29</v>
      </c>
      <c r="D22" s="15" t="s">
        <v>34</v>
      </c>
      <c r="E22" s="29" t="s">
        <v>35</v>
      </c>
      <c r="F22" s="190" t="s">
        <v>63</v>
      </c>
      <c r="G22" s="191"/>
      <c r="H22" s="192"/>
      <c r="N22">
        <v>8</v>
      </c>
      <c r="O22">
        <v>2.67</v>
      </c>
    </row>
    <row r="23" spans="1:15" x14ac:dyDescent="0.25">
      <c r="A23" s="4" t="str">
        <f>CONCATENATE(B11," - ","Box Beam ",B10," x ",B7,"ft")</f>
        <v>6 - Box Beam CB12 x 32ft</v>
      </c>
      <c r="B23" s="4">
        <f>B11*B7</f>
        <v>192</v>
      </c>
      <c r="C23" s="4" t="s">
        <v>40</v>
      </c>
      <c r="D23" s="8">
        <f>VLOOKUP(B10,N2:P13,3,FALSE)</f>
        <v>355</v>
      </c>
      <c r="E23" s="30">
        <f>D23*B23</f>
        <v>68160</v>
      </c>
      <c r="F23" s="187"/>
      <c r="G23" s="188"/>
      <c r="H23" s="189"/>
      <c r="N23">
        <v>9</v>
      </c>
      <c r="O23">
        <v>3.4</v>
      </c>
    </row>
    <row r="24" spans="1:15" x14ac:dyDescent="0.25">
      <c r="A24" s="4" t="s">
        <v>30</v>
      </c>
      <c r="B24" s="19">
        <f>IF(LEFT(B10,2)="CB",B7*B8*5/12/27,0)</f>
        <v>12.269939915971353</v>
      </c>
      <c r="C24" s="4" t="s">
        <v>32</v>
      </c>
      <c r="D24" s="4">
        <v>2000</v>
      </c>
      <c r="E24" s="30">
        <f>D24*B24</f>
        <v>24539.879831942704</v>
      </c>
      <c r="F24" s="187"/>
      <c r="G24" s="188"/>
      <c r="H24" s="189"/>
      <c r="N24">
        <v>10</v>
      </c>
      <c r="O24">
        <v>4.3029999999999999</v>
      </c>
    </row>
    <row r="25" spans="1:15" x14ac:dyDescent="0.25">
      <c r="A25" s="4" t="s">
        <v>36</v>
      </c>
      <c r="B25" s="19">
        <f>IF(LEFT(B10,2)="CB",G17,0)</f>
        <v>1552.3967250000001</v>
      </c>
      <c r="C25" s="4" t="s">
        <v>37</v>
      </c>
      <c r="D25" s="4">
        <v>2.1</v>
      </c>
      <c r="E25" s="30">
        <f>D25*B25</f>
        <v>3260.0331225000004</v>
      </c>
      <c r="F25" s="187"/>
      <c r="G25" s="188"/>
      <c r="H25" s="189"/>
      <c r="N25">
        <v>11</v>
      </c>
      <c r="O25">
        <v>5.3129999999999997</v>
      </c>
    </row>
    <row r="26" spans="1:15" x14ac:dyDescent="0.25">
      <c r="A26" s="4" t="s">
        <v>38</v>
      </c>
      <c r="B26" s="4">
        <f>ROUND(2*B8,0)</f>
        <v>50</v>
      </c>
      <c r="C26" s="4" t="s">
        <v>40</v>
      </c>
      <c r="D26" s="8">
        <v>133.49</v>
      </c>
      <c r="E26" s="30">
        <f t="shared" ref="E26:E30" si="3">D26*B26</f>
        <v>6674.5</v>
      </c>
      <c r="F26" s="187"/>
      <c r="G26" s="188"/>
      <c r="H26" s="189"/>
      <c r="N26">
        <v>14</v>
      </c>
      <c r="O26">
        <v>7.65</v>
      </c>
    </row>
    <row r="27" spans="1:15" x14ac:dyDescent="0.25">
      <c r="A27" s="4" t="s">
        <v>39</v>
      </c>
      <c r="B27" s="4">
        <f>ROUND(2*B7,0)</f>
        <v>64</v>
      </c>
      <c r="C27" s="4" t="s">
        <v>40</v>
      </c>
      <c r="D27" s="8">
        <v>240</v>
      </c>
      <c r="E27" s="30">
        <f t="shared" si="3"/>
        <v>15360</v>
      </c>
      <c r="F27" s="187"/>
      <c r="G27" s="188"/>
      <c r="H27" s="189"/>
      <c r="N27">
        <v>18</v>
      </c>
      <c r="O27">
        <v>13.6</v>
      </c>
    </row>
    <row r="28" spans="1:15" x14ac:dyDescent="0.25">
      <c r="A28" s="4" t="s">
        <v>41</v>
      </c>
      <c r="B28" s="4">
        <f>ROUND(((VLOOKUP(B10,N2:O13,2,FALSE)/12)^2*B8*2)/27,0)</f>
        <v>4</v>
      </c>
      <c r="C28" s="4" t="s">
        <v>32</v>
      </c>
      <c r="D28" s="8">
        <v>83.89</v>
      </c>
      <c r="E28" s="10">
        <f>IF(BridgeInformation!$B$9="Superstructure Replacement",D28*B28,0)</f>
        <v>0</v>
      </c>
      <c r="F28" s="187" t="s">
        <v>104</v>
      </c>
      <c r="G28" s="188"/>
      <c r="H28" s="189"/>
    </row>
    <row r="29" spans="1:15" x14ac:dyDescent="0.25">
      <c r="A29" s="38" t="s">
        <v>64</v>
      </c>
      <c r="B29" s="43">
        <f>IF(LEFT(B10,2)="CB",0,B8*B7/9)</f>
        <v>0</v>
      </c>
      <c r="C29" s="38" t="s">
        <v>69</v>
      </c>
      <c r="D29" s="40">
        <f>IF(LEFT(B10,2)="CB",0,53.4)</f>
        <v>0</v>
      </c>
      <c r="E29" s="44">
        <f t="shared" si="3"/>
        <v>0</v>
      </c>
      <c r="F29" s="187" t="s">
        <v>68</v>
      </c>
      <c r="G29" s="188"/>
      <c r="H29" s="189"/>
      <c r="N29" t="s">
        <v>384</v>
      </c>
    </row>
    <row r="30" spans="1:15" x14ac:dyDescent="0.25">
      <c r="A30" s="38" t="s">
        <v>65</v>
      </c>
      <c r="B30" s="43">
        <f>IF(LEFT(B10,2)="CB",0,B7*B8*15/2000)</f>
        <v>0</v>
      </c>
      <c r="C30" s="38" t="s">
        <v>67</v>
      </c>
      <c r="D30" s="40">
        <f>IF(LEFT(B10,2)="CB",0,125)</f>
        <v>0</v>
      </c>
      <c r="E30" s="44">
        <f t="shared" si="3"/>
        <v>0</v>
      </c>
      <c r="F30" s="187" t="s">
        <v>68</v>
      </c>
      <c r="G30" s="188"/>
      <c r="H30" s="189"/>
      <c r="N30" t="str">
        <f>IF(R2&gt;=B5,S2,IF(R3&gt;=B5,S3,IF(R4&gt;=B5,S4,IF(R5&gt;=B5,S5,IF(R6&gt;=B5,S6,IF(R7&gt;=B5,S7))))))</f>
        <v>CB12</v>
      </c>
    </row>
    <row r="31" spans="1:15" x14ac:dyDescent="0.25">
      <c r="A31" s="5" t="s">
        <v>48</v>
      </c>
      <c r="B31" s="112" t="s">
        <v>435</v>
      </c>
      <c r="C31" s="112" t="s">
        <v>435</v>
      </c>
      <c r="D31" s="112" t="s">
        <v>435</v>
      </c>
      <c r="E31" s="31">
        <f>SUM(E23:E28)</f>
        <v>117994.4129544427</v>
      </c>
      <c r="F31" s="47"/>
      <c r="G31" s="48"/>
      <c r="H31" s="49"/>
    </row>
    <row r="33" spans="1:1" ht="17.25" x14ac:dyDescent="0.3">
      <c r="A33" s="55" t="s">
        <v>278</v>
      </c>
    </row>
    <row r="34" spans="1:1" ht="15.75" x14ac:dyDescent="0.25">
      <c r="A34" s="56" t="s">
        <v>283</v>
      </c>
    </row>
    <row r="35" spans="1:1" x14ac:dyDescent="0.25">
      <c r="A35" s="54" t="s">
        <v>284</v>
      </c>
    </row>
    <row r="36" spans="1:1" x14ac:dyDescent="0.25">
      <c r="A36" s="54" t="s">
        <v>285</v>
      </c>
    </row>
    <row r="37" spans="1:1" x14ac:dyDescent="0.25">
      <c r="A37" s="54" t="s">
        <v>286</v>
      </c>
    </row>
    <row r="38" spans="1:1" x14ac:dyDescent="0.25">
      <c r="A38" s="54" t="s">
        <v>287</v>
      </c>
    </row>
    <row r="39" spans="1:1" x14ac:dyDescent="0.25">
      <c r="A39" s="54" t="s">
        <v>288</v>
      </c>
    </row>
    <row r="40" spans="1:1" x14ac:dyDescent="0.25">
      <c r="A40" t="str">
        <f>VLOOKUP(B10,N2:Q13,4,FALSE)</f>
        <v>BDP-006 Box Beam B12 and CB12 Details</v>
      </c>
    </row>
    <row r="41" spans="1:1" ht="15.75" x14ac:dyDescent="0.25">
      <c r="A41" s="56" t="s">
        <v>298</v>
      </c>
    </row>
    <row r="42" spans="1:1" x14ac:dyDescent="0.25">
      <c r="A42" s="54" t="s">
        <v>279</v>
      </c>
    </row>
    <row r="43" spans="1:1" x14ac:dyDescent="0.25">
      <c r="A43" s="54" t="s">
        <v>280</v>
      </c>
    </row>
    <row r="44" spans="1:1" x14ac:dyDescent="0.25">
      <c r="A44" s="54" t="s">
        <v>281</v>
      </c>
    </row>
  </sheetData>
  <sortState xmlns:xlrd2="http://schemas.microsoft.com/office/spreadsheetml/2017/richdata2" ref="S6:W17">
    <sortCondition ref="S6:S17"/>
  </sortState>
  <mergeCells count="16">
    <mergeCell ref="C8:F8"/>
    <mergeCell ref="C5:F5"/>
    <mergeCell ref="C1:F1"/>
    <mergeCell ref="C2:F2"/>
    <mergeCell ref="C6:F6"/>
    <mergeCell ref="C3:F3"/>
    <mergeCell ref="C4:F4"/>
    <mergeCell ref="F30:H30"/>
    <mergeCell ref="F22:H22"/>
    <mergeCell ref="F23:H23"/>
    <mergeCell ref="F29:H29"/>
    <mergeCell ref="F28:H28"/>
    <mergeCell ref="F27:H27"/>
    <mergeCell ref="F26:H26"/>
    <mergeCell ref="F25:H25"/>
    <mergeCell ref="F24:H24"/>
  </mergeCells>
  <dataValidations count="1">
    <dataValidation type="list" allowBlank="1" showInputMessage="1" showErrorMessage="1" sqref="B10" xr:uid="{5732F4C2-E6ED-4E41-A06B-E345BBDB8C57}">
      <formula1>$N$2:$N$13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948E-807E-436E-AB2B-4880D60A8491}">
  <sheetPr codeName="Sheet3"/>
  <dimension ref="A1:V46"/>
  <sheetViews>
    <sheetView workbookViewId="0"/>
  </sheetViews>
  <sheetFormatPr defaultRowHeight="15" x14ac:dyDescent="0.25"/>
  <cols>
    <col min="1" max="1" width="54.28515625" customWidth="1"/>
    <col min="2" max="7" width="12.28515625" customWidth="1"/>
    <col min="13" max="13" width="0" hidden="1" customWidth="1"/>
    <col min="14" max="14" width="9.140625" hidden="1" customWidth="1"/>
    <col min="15" max="15" width="12.5703125" hidden="1" customWidth="1"/>
    <col min="16" max="16" width="9.140625" hidden="1" customWidth="1"/>
    <col min="17" max="24" width="0" hidden="1" customWidth="1"/>
  </cols>
  <sheetData>
    <row r="1" spans="1:22" ht="17.25" x14ac:dyDescent="0.3">
      <c r="A1" s="2" t="s">
        <v>70</v>
      </c>
      <c r="B1" s="1"/>
      <c r="C1" s="183" t="s">
        <v>86</v>
      </c>
      <c r="D1" s="183"/>
      <c r="E1" s="183"/>
      <c r="F1" s="183"/>
      <c r="N1" t="s">
        <v>88</v>
      </c>
      <c r="S1" t="s">
        <v>223</v>
      </c>
      <c r="T1" t="s">
        <v>224</v>
      </c>
      <c r="U1" t="s">
        <v>225</v>
      </c>
      <c r="V1" t="s">
        <v>176</v>
      </c>
    </row>
    <row r="2" spans="1:22" x14ac:dyDescent="0.25">
      <c r="A2" s="4" t="s">
        <v>90</v>
      </c>
      <c r="B2" s="4">
        <f>BridgeInformation!C18</f>
        <v>31</v>
      </c>
      <c r="C2" s="194" t="s">
        <v>102</v>
      </c>
      <c r="D2" s="195"/>
      <c r="E2" s="195"/>
      <c r="F2" s="196"/>
      <c r="N2" t="s">
        <v>89</v>
      </c>
      <c r="S2" cm="1">
        <f t="array" ref="S2:V30">_xlfn._xlws.SORT(_xlfn._xlws.FILTER(StructuralSteel_Table!H3:K50,StructuralSteel_Table!H3:H50&gt;='Non-CompositeSteel'!B2),3,1)</f>
        <v>35</v>
      </c>
      <c r="T2" t="str">
        <v>W24x117</v>
      </c>
      <c r="U2">
        <v>117</v>
      </c>
      <c r="V2">
        <v>24.3</v>
      </c>
    </row>
    <row r="3" spans="1:22" x14ac:dyDescent="0.25">
      <c r="A3" s="4" t="s">
        <v>91</v>
      </c>
      <c r="B3" s="4">
        <f>BridgeInformation!C16</f>
        <v>24</v>
      </c>
      <c r="C3" s="177"/>
      <c r="D3" s="178"/>
      <c r="E3" s="178"/>
      <c r="F3" s="179"/>
      <c r="N3" t="s">
        <v>95</v>
      </c>
      <c r="S3">
        <v>35</v>
      </c>
      <c r="T3" t="str">
        <v>W21x122</v>
      </c>
      <c r="U3">
        <v>122</v>
      </c>
      <c r="V3">
        <v>21.7</v>
      </c>
    </row>
    <row r="4" spans="1:22" x14ac:dyDescent="0.25">
      <c r="A4" s="4" t="s">
        <v>259</v>
      </c>
      <c r="B4" s="4">
        <f>ROUNDUP((B3-1.5)/4,0)*4+1.5</f>
        <v>25.5</v>
      </c>
      <c r="C4" s="177" t="s">
        <v>85</v>
      </c>
      <c r="D4" s="178"/>
      <c r="E4" s="178"/>
      <c r="F4" s="179"/>
      <c r="S4">
        <v>35</v>
      </c>
      <c r="T4" t="str">
        <v>W27x129</v>
      </c>
      <c r="U4">
        <v>129</v>
      </c>
      <c r="V4">
        <v>27.6</v>
      </c>
    </row>
    <row r="5" spans="1:22" x14ac:dyDescent="0.25">
      <c r="A5" s="4" t="s">
        <v>92</v>
      </c>
      <c r="B5" s="4">
        <f>BridgeInformation!C15</f>
        <v>32</v>
      </c>
      <c r="C5" s="177"/>
      <c r="D5" s="178"/>
      <c r="E5" s="178"/>
      <c r="F5" s="179"/>
      <c r="S5">
        <v>45</v>
      </c>
      <c r="T5" t="str">
        <v>W27x129</v>
      </c>
      <c r="U5">
        <v>129</v>
      </c>
      <c r="V5">
        <v>27.6</v>
      </c>
    </row>
    <row r="6" spans="1:22" x14ac:dyDescent="0.25">
      <c r="A6" s="4" t="s">
        <v>2</v>
      </c>
      <c r="B6" s="4">
        <f>BridgeInformation!C19</f>
        <v>15</v>
      </c>
      <c r="C6" s="177"/>
      <c r="D6" s="178"/>
      <c r="E6" s="178"/>
      <c r="F6" s="179"/>
      <c r="S6">
        <v>45</v>
      </c>
      <c r="T6" t="str">
        <v>W33x130</v>
      </c>
      <c r="U6">
        <v>130</v>
      </c>
      <c r="V6">
        <v>33.1</v>
      </c>
    </row>
    <row r="7" spans="1:22" hidden="1" x14ac:dyDescent="0.25">
      <c r="A7" s="4" t="s">
        <v>373</v>
      </c>
      <c r="B7" s="12">
        <f>B4/COS(RADIANS(B6))</f>
        <v>26.399542600457117</v>
      </c>
      <c r="C7" s="177" t="s">
        <v>174</v>
      </c>
      <c r="D7" s="178"/>
      <c r="E7" s="178"/>
      <c r="F7" s="179"/>
      <c r="S7">
        <v>45</v>
      </c>
      <c r="T7" t="str">
        <v>W30x132</v>
      </c>
      <c r="U7">
        <v>132</v>
      </c>
      <c r="V7">
        <v>30.3</v>
      </c>
    </row>
    <row r="8" spans="1:22" hidden="1" x14ac:dyDescent="0.25">
      <c r="A8" s="4" t="s">
        <v>374</v>
      </c>
      <c r="B8" s="12">
        <f>COS(RADIANS(B6))*B5</f>
        <v>30.909626441250186</v>
      </c>
      <c r="C8" s="177" t="s">
        <v>174</v>
      </c>
      <c r="D8" s="178"/>
      <c r="E8" s="178"/>
      <c r="F8" s="179"/>
      <c r="S8">
        <v>35</v>
      </c>
      <c r="T8" t="str">
        <v>W18x143</v>
      </c>
      <c r="U8">
        <v>143</v>
      </c>
      <c r="V8">
        <v>19.5</v>
      </c>
    </row>
    <row r="9" spans="1:22" x14ac:dyDescent="0.25">
      <c r="A9" s="4" t="s">
        <v>229</v>
      </c>
      <c r="B9" s="129" t="str">
        <f>T2</f>
        <v>W24x117</v>
      </c>
      <c r="C9" s="177"/>
      <c r="D9" s="178"/>
      <c r="E9" s="178"/>
      <c r="F9" s="179"/>
      <c r="S9">
        <v>40</v>
      </c>
      <c r="T9" t="str">
        <v>W24x146</v>
      </c>
      <c r="U9">
        <v>146</v>
      </c>
      <c r="V9">
        <v>24.7</v>
      </c>
    </row>
    <row r="10" spans="1:22" x14ac:dyDescent="0.25">
      <c r="A10" s="4" t="s">
        <v>61</v>
      </c>
      <c r="B10" s="4">
        <f>(B4-1.5)/4+1</f>
        <v>7</v>
      </c>
      <c r="C10" s="177"/>
      <c r="D10" s="178"/>
      <c r="E10" s="178"/>
      <c r="F10" s="179"/>
      <c r="S10">
        <v>40</v>
      </c>
      <c r="T10" t="str">
        <v>W27x146</v>
      </c>
      <c r="U10">
        <v>146</v>
      </c>
      <c r="V10">
        <v>27.4</v>
      </c>
    </row>
    <row r="11" spans="1:22" hidden="1" x14ac:dyDescent="0.25">
      <c r="A11" s="4" t="s">
        <v>73</v>
      </c>
      <c r="B11" s="4">
        <f>IF(B2&lt;=40,(B10-1)*4,(B10-1)*4*3)</f>
        <v>24</v>
      </c>
      <c r="C11" s="177" t="s">
        <v>174</v>
      </c>
      <c r="D11" s="178"/>
      <c r="E11" s="178"/>
      <c r="F11" s="179"/>
      <c r="S11">
        <v>45</v>
      </c>
      <c r="T11" t="str">
        <v>W24x146</v>
      </c>
      <c r="U11">
        <v>146</v>
      </c>
      <c r="V11">
        <v>24.7</v>
      </c>
    </row>
    <row r="12" spans="1:22" x14ac:dyDescent="0.25">
      <c r="A12" s="4" t="s">
        <v>88</v>
      </c>
      <c r="B12" s="130" t="s">
        <v>89</v>
      </c>
      <c r="C12" s="180"/>
      <c r="D12" s="181"/>
      <c r="E12" s="181"/>
      <c r="F12" s="182"/>
      <c r="S12">
        <v>50</v>
      </c>
      <c r="T12" t="str">
        <v>W27x146</v>
      </c>
      <c r="U12">
        <v>146</v>
      </c>
      <c r="V12">
        <v>27.4</v>
      </c>
    </row>
    <row r="13" spans="1:22" x14ac:dyDescent="0.25">
      <c r="S13">
        <v>40</v>
      </c>
      <c r="T13" t="str">
        <v>W21x147</v>
      </c>
      <c r="U13">
        <v>147</v>
      </c>
      <c r="V13">
        <v>22.1</v>
      </c>
    </row>
    <row r="14" spans="1:22" x14ac:dyDescent="0.25">
      <c r="A14" s="24" t="s">
        <v>97</v>
      </c>
      <c r="S14">
        <v>40</v>
      </c>
      <c r="T14" t="str">
        <v>W30x148</v>
      </c>
      <c r="U14">
        <v>148</v>
      </c>
      <c r="V14">
        <v>30.7</v>
      </c>
    </row>
    <row r="15" spans="1:22" x14ac:dyDescent="0.25">
      <c r="A15" s="25" t="s">
        <v>25</v>
      </c>
      <c r="B15" s="25" t="s">
        <v>98</v>
      </c>
      <c r="C15" s="25" t="s">
        <v>99</v>
      </c>
      <c r="D15" s="25" t="s">
        <v>100</v>
      </c>
      <c r="E15" s="25" t="s">
        <v>7</v>
      </c>
      <c r="F15" s="25" t="s">
        <v>8</v>
      </c>
      <c r="G15" s="25" t="s">
        <v>23</v>
      </c>
      <c r="S15">
        <v>50</v>
      </c>
      <c r="T15" t="str">
        <v>W30x148</v>
      </c>
      <c r="U15">
        <v>148</v>
      </c>
      <c r="V15">
        <v>30.7</v>
      </c>
    </row>
    <row r="16" spans="1:22" x14ac:dyDescent="0.25">
      <c r="A16" s="4" t="s">
        <v>3</v>
      </c>
      <c r="B16" s="4">
        <v>5</v>
      </c>
      <c r="C16" s="4">
        <v>12</v>
      </c>
      <c r="D16" s="12">
        <f>B8-4/12</f>
        <v>30.576293107916854</v>
      </c>
      <c r="E16" s="4">
        <f>ROUNDUP((B4-0.33)/(C16/12),0)+1</f>
        <v>27</v>
      </c>
      <c r="F16" s="12">
        <f>E16*D16</f>
        <v>825.55991391375505</v>
      </c>
      <c r="G16" s="12">
        <f>VLOOKUP(B16,N$25:O$35,2,FALSE)*F16</f>
        <v>861.05899021204641</v>
      </c>
      <c r="S16">
        <v>50</v>
      </c>
      <c r="T16" t="str">
        <v>W36x150</v>
      </c>
      <c r="U16">
        <v>150</v>
      </c>
      <c r="V16">
        <v>35.9</v>
      </c>
    </row>
    <row r="17" spans="1:22" x14ac:dyDescent="0.25">
      <c r="A17" s="4" t="s">
        <v>4</v>
      </c>
      <c r="B17" s="4">
        <v>5</v>
      </c>
      <c r="C17" s="4">
        <v>8</v>
      </c>
      <c r="D17" s="12">
        <f>B7-0.33</f>
        <v>26.069542600457119</v>
      </c>
      <c r="E17" s="4">
        <f>ROUNDUP((B8-0.33)/(C17/12),0)+1</f>
        <v>47</v>
      </c>
      <c r="F17" s="12">
        <f t="shared" ref="F17:F19" si="0">E17*D17</f>
        <v>1225.2685022214846</v>
      </c>
      <c r="G17" s="12">
        <f>VLOOKUP(B17,N$25:O$35,2,FALSE)*F17</f>
        <v>1277.9550478170083</v>
      </c>
      <c r="S17">
        <v>50</v>
      </c>
      <c r="T17" t="str">
        <v>W33x152</v>
      </c>
      <c r="U17">
        <v>152</v>
      </c>
      <c r="V17">
        <v>33.5</v>
      </c>
    </row>
    <row r="18" spans="1:22" x14ac:dyDescent="0.25">
      <c r="A18" s="4" t="s">
        <v>6</v>
      </c>
      <c r="B18" s="4">
        <v>5</v>
      </c>
      <c r="C18" s="4">
        <v>9</v>
      </c>
      <c r="D18" s="12">
        <f>D16</f>
        <v>30.576293107916854</v>
      </c>
      <c r="E18" s="4">
        <f>ROUNDUP((B4-0.33)/(C18/12),0)+1</f>
        <v>35</v>
      </c>
      <c r="F18" s="12">
        <f t="shared" si="0"/>
        <v>1070.1702587770899</v>
      </c>
      <c r="G18" s="12">
        <f>VLOOKUP(B18,N$25:O$35,2,FALSE)*F18</f>
        <v>1116.1875799045047</v>
      </c>
      <c r="S18">
        <v>55</v>
      </c>
      <c r="T18" t="str">
        <v>W36x160</v>
      </c>
      <c r="U18">
        <v>160</v>
      </c>
      <c r="V18">
        <v>36</v>
      </c>
    </row>
    <row r="19" spans="1:22" x14ac:dyDescent="0.25">
      <c r="A19" s="4" t="s">
        <v>72</v>
      </c>
      <c r="B19" s="4">
        <v>5</v>
      </c>
      <c r="C19" s="4">
        <v>8</v>
      </c>
      <c r="D19" s="12">
        <f>D17</f>
        <v>26.069542600457119</v>
      </c>
      <c r="E19" s="4">
        <f>ROUNDUP((B8-0.33)/(C19/12),0)+1</f>
        <v>47</v>
      </c>
      <c r="F19" s="12">
        <f t="shared" si="0"/>
        <v>1225.2685022214846</v>
      </c>
      <c r="G19" s="12">
        <f>VLOOKUP(B19,N$25:O$35,2,FALSE)*F19</f>
        <v>1277.9550478170083</v>
      </c>
      <c r="S19">
        <v>50</v>
      </c>
      <c r="T19" t="str">
        <v>W24x162</v>
      </c>
      <c r="U19">
        <v>162</v>
      </c>
      <c r="V19">
        <v>25</v>
      </c>
    </row>
    <row r="20" spans="1:22" x14ac:dyDescent="0.25">
      <c r="A20" s="17" t="s">
        <v>22</v>
      </c>
      <c r="B20" s="17"/>
      <c r="C20" s="17"/>
      <c r="D20" s="17"/>
      <c r="E20" s="17"/>
      <c r="F20" s="17"/>
      <c r="G20" s="18">
        <f>SUM(G16:G19)</f>
        <v>4533.1566657505682</v>
      </c>
      <c r="S20">
        <v>45</v>
      </c>
      <c r="T20" t="str">
        <v>W21x166</v>
      </c>
      <c r="U20">
        <v>166</v>
      </c>
      <c r="V20">
        <v>22.5</v>
      </c>
    </row>
    <row r="21" spans="1:22" x14ac:dyDescent="0.25">
      <c r="A21" s="4" t="s">
        <v>96</v>
      </c>
      <c r="B21" s="4">
        <v>8</v>
      </c>
      <c r="S21">
        <v>55</v>
      </c>
      <c r="T21" t="str">
        <v>W33x169</v>
      </c>
      <c r="U21">
        <v>169</v>
      </c>
      <c r="V21">
        <v>33.799999999999997</v>
      </c>
    </row>
    <row r="22" spans="1:22" x14ac:dyDescent="0.25">
      <c r="A22" s="4" t="s">
        <v>231</v>
      </c>
      <c r="B22" s="4">
        <f>VLOOKUP(B9,StructuralSteel_Table!I3:K50,2,FALSE)</f>
        <v>117</v>
      </c>
      <c r="S22">
        <v>55</v>
      </c>
      <c r="T22" t="str">
        <v>W30x173</v>
      </c>
      <c r="U22">
        <v>173</v>
      </c>
      <c r="V22">
        <v>30.4</v>
      </c>
    </row>
    <row r="23" spans="1:22" x14ac:dyDescent="0.25">
      <c r="A23" s="4" t="s">
        <v>380</v>
      </c>
      <c r="B23" s="4">
        <f>VLOOKUP(B9,T2:V15,3,FALSE)</f>
        <v>24.3</v>
      </c>
      <c r="N23" t="s">
        <v>26</v>
      </c>
      <c r="S23">
        <v>60</v>
      </c>
      <c r="T23" t="str">
        <v>W30x173</v>
      </c>
      <c r="U23">
        <v>173</v>
      </c>
      <c r="V23">
        <v>30.4</v>
      </c>
    </row>
    <row r="24" spans="1:22" x14ac:dyDescent="0.25">
      <c r="N24" t="s">
        <v>27</v>
      </c>
      <c r="O24" t="s">
        <v>28</v>
      </c>
      <c r="S24">
        <v>35</v>
      </c>
      <c r="T24" t="str">
        <v>W14x176</v>
      </c>
      <c r="U24">
        <v>176</v>
      </c>
      <c r="V24">
        <v>15.2</v>
      </c>
    </row>
    <row r="25" spans="1:22" x14ac:dyDescent="0.25">
      <c r="N25">
        <v>3</v>
      </c>
      <c r="O25">
        <v>0.376</v>
      </c>
      <c r="S25">
        <v>55</v>
      </c>
      <c r="T25" t="str">
        <v>W27x178</v>
      </c>
      <c r="U25">
        <v>178</v>
      </c>
      <c r="V25">
        <v>27.8</v>
      </c>
    </row>
    <row r="26" spans="1:22" ht="15.75" x14ac:dyDescent="0.25">
      <c r="A26" s="15" t="s">
        <v>33</v>
      </c>
      <c r="B26" s="15" t="s">
        <v>31</v>
      </c>
      <c r="C26" s="15" t="s">
        <v>29</v>
      </c>
      <c r="D26" s="15" t="s">
        <v>34</v>
      </c>
      <c r="E26" s="15" t="s">
        <v>35</v>
      </c>
      <c r="F26" s="13"/>
      <c r="N26">
        <v>4</v>
      </c>
      <c r="O26">
        <v>0.66800000000000004</v>
      </c>
      <c r="S26">
        <v>40</v>
      </c>
      <c r="T26" t="str">
        <v>W18x192</v>
      </c>
      <c r="U26">
        <v>192</v>
      </c>
      <c r="V26">
        <v>20.399999999999999</v>
      </c>
    </row>
    <row r="27" spans="1:22" x14ac:dyDescent="0.25">
      <c r="A27" s="4" t="str">
        <f>CONCATENATE(B9," Structural Steal Beam x ",B10," x ",B5," ft")</f>
        <v>W24x117 Structural Steal Beam x 7 x 32 ft</v>
      </c>
      <c r="B27" s="4">
        <f>B5*B10</f>
        <v>224</v>
      </c>
      <c r="C27" s="4" t="s">
        <v>40</v>
      </c>
      <c r="D27" s="8">
        <f>B22*5</f>
        <v>585</v>
      </c>
      <c r="E27" s="8">
        <f>D27*B27</f>
        <v>131040</v>
      </c>
      <c r="F27" s="14"/>
      <c r="N27">
        <v>5</v>
      </c>
      <c r="O27">
        <v>1.0429999999999999</v>
      </c>
      <c r="S27">
        <v>55</v>
      </c>
      <c r="T27" t="str">
        <v>W24x192</v>
      </c>
      <c r="U27">
        <v>192</v>
      </c>
      <c r="V27">
        <v>25.5</v>
      </c>
    </row>
    <row r="28" spans="1:22" x14ac:dyDescent="0.25">
      <c r="A28" s="4" t="s">
        <v>74</v>
      </c>
      <c r="B28" s="4">
        <f>IF(B12="Steel Grid",0,B11)</f>
        <v>24</v>
      </c>
      <c r="C28" s="4" t="s">
        <v>40</v>
      </c>
      <c r="D28" s="8">
        <v>20</v>
      </c>
      <c r="E28" s="8">
        <f>D28*B28</f>
        <v>480</v>
      </c>
      <c r="F28" s="14"/>
      <c r="N28">
        <v>6</v>
      </c>
      <c r="O28">
        <v>1.502</v>
      </c>
      <c r="S28">
        <v>60</v>
      </c>
      <c r="T28" t="str">
        <v>W27x194</v>
      </c>
      <c r="U28">
        <v>194</v>
      </c>
      <c r="V28">
        <v>28.1</v>
      </c>
    </row>
    <row r="29" spans="1:22" x14ac:dyDescent="0.25">
      <c r="A29" s="4" t="s">
        <v>30</v>
      </c>
      <c r="B29" s="16">
        <f>IF(B12="Steel Grid",0,(B5*B3*B21/12)/27)</f>
        <v>18.962962962962962</v>
      </c>
      <c r="C29" s="4" t="s">
        <v>32</v>
      </c>
      <c r="D29" s="4">
        <v>2000</v>
      </c>
      <c r="E29" s="8">
        <f>D29*B29</f>
        <v>37925.925925925927</v>
      </c>
      <c r="F29" s="14"/>
      <c r="N29">
        <v>7</v>
      </c>
      <c r="O29">
        <v>2.044</v>
      </c>
      <c r="S29">
        <v>60</v>
      </c>
      <c r="T29" t="str">
        <v>W36x194</v>
      </c>
      <c r="U29">
        <v>194</v>
      </c>
      <c r="V29">
        <v>36.5</v>
      </c>
    </row>
    <row r="30" spans="1:22" x14ac:dyDescent="0.25">
      <c r="A30" s="38" t="s">
        <v>175</v>
      </c>
      <c r="B30" s="42">
        <f>IF(B12="Steel Grid",B7*B5,0)</f>
        <v>0</v>
      </c>
      <c r="C30" s="38" t="s">
        <v>66</v>
      </c>
      <c r="D30" s="38">
        <v>125</v>
      </c>
      <c r="E30" s="40">
        <f>D30*B30</f>
        <v>0</v>
      </c>
      <c r="F30" s="14"/>
      <c r="N30">
        <v>8</v>
      </c>
      <c r="O30">
        <v>2.67</v>
      </c>
      <c r="S30">
        <v>60</v>
      </c>
      <c r="T30" t="str">
        <v>W33x201</v>
      </c>
      <c r="U30">
        <v>201</v>
      </c>
      <c r="V30">
        <v>33.700000000000003</v>
      </c>
    </row>
    <row r="31" spans="1:22" x14ac:dyDescent="0.25">
      <c r="A31" s="4" t="s">
        <v>38</v>
      </c>
      <c r="B31" s="4">
        <f>ROUND(2*B7,0)</f>
        <v>53</v>
      </c>
      <c r="C31" s="4" t="s">
        <v>40</v>
      </c>
      <c r="D31" s="8">
        <v>133.49</v>
      </c>
      <c r="E31" s="8">
        <f t="shared" ref="E31:E32" si="1">D31*B31</f>
        <v>7074.97</v>
      </c>
      <c r="F31" s="14"/>
      <c r="N31">
        <v>9</v>
      </c>
      <c r="O31">
        <v>3.4</v>
      </c>
    </row>
    <row r="32" spans="1:22" x14ac:dyDescent="0.25">
      <c r="A32" s="4" t="s">
        <v>71</v>
      </c>
      <c r="B32" s="4">
        <f>ROUND(2*B8,0)</f>
        <v>62</v>
      </c>
      <c r="C32" s="4" t="s">
        <v>40</v>
      </c>
      <c r="D32" s="8">
        <v>187</v>
      </c>
      <c r="E32" s="8">
        <f t="shared" si="1"/>
        <v>11594</v>
      </c>
      <c r="F32" s="14"/>
      <c r="N32">
        <v>10</v>
      </c>
      <c r="O32">
        <v>4.3029999999999999</v>
      </c>
    </row>
    <row r="33" spans="1:15" x14ac:dyDescent="0.25">
      <c r="A33" s="4" t="s">
        <v>41</v>
      </c>
      <c r="B33" s="12">
        <f>4*B7*2/27</f>
        <v>7.8220866964317386</v>
      </c>
      <c r="C33" s="4" t="s">
        <v>32</v>
      </c>
      <c r="D33" s="8">
        <v>83.89</v>
      </c>
      <c r="E33" s="10">
        <f>IF(BridgeInformation!$B$9="Superstructure Replacement",D33*B33,0)</f>
        <v>0</v>
      </c>
      <c r="F33" s="14"/>
      <c r="N33">
        <v>11</v>
      </c>
      <c r="O33">
        <v>5.3129999999999997</v>
      </c>
    </row>
    <row r="34" spans="1:15" x14ac:dyDescent="0.25">
      <c r="A34" s="5" t="s">
        <v>48</v>
      </c>
      <c r="B34" s="112" t="s">
        <v>435</v>
      </c>
      <c r="C34" s="112" t="s">
        <v>435</v>
      </c>
      <c r="D34" s="112" t="s">
        <v>435</v>
      </c>
      <c r="E34" s="11">
        <f>SUM(E27:E33)</f>
        <v>188114.89592592593</v>
      </c>
      <c r="F34" s="14"/>
      <c r="N34">
        <v>14</v>
      </c>
      <c r="O34">
        <v>7.65</v>
      </c>
    </row>
    <row r="35" spans="1:15" x14ac:dyDescent="0.25">
      <c r="N35">
        <v>18</v>
      </c>
      <c r="O35">
        <v>13.6</v>
      </c>
    </row>
    <row r="37" spans="1:15" ht="17.25" x14ac:dyDescent="0.3">
      <c r="A37" s="55" t="s">
        <v>278</v>
      </c>
    </row>
    <row r="38" spans="1:15" ht="15.75" x14ac:dyDescent="0.25">
      <c r="A38" s="56" t="s">
        <v>283</v>
      </c>
    </row>
    <row r="39" spans="1:15" x14ac:dyDescent="0.25">
      <c r="A39" s="54" t="s">
        <v>303</v>
      </c>
    </row>
    <row r="40" spans="1:15" x14ac:dyDescent="0.25">
      <c r="A40" s="54" t="s">
        <v>302</v>
      </c>
    </row>
    <row r="41" spans="1:15" x14ac:dyDescent="0.25">
      <c r="A41" s="54" t="s">
        <v>301</v>
      </c>
    </row>
    <row r="42" spans="1:15" x14ac:dyDescent="0.25">
      <c r="A42" s="54" t="s">
        <v>300</v>
      </c>
    </row>
    <row r="43" spans="1:15" x14ac:dyDescent="0.25">
      <c r="A43" s="54" t="s">
        <v>299</v>
      </c>
    </row>
    <row r="44" spans="1:15" ht="15.75" x14ac:dyDescent="0.25">
      <c r="A44" s="56" t="s">
        <v>298</v>
      </c>
    </row>
    <row r="45" spans="1:15" x14ac:dyDescent="0.25">
      <c r="A45" s="54" t="s">
        <v>304</v>
      </c>
    </row>
    <row r="46" spans="1:15" x14ac:dyDescent="0.25">
      <c r="A46" s="54" t="s">
        <v>281</v>
      </c>
    </row>
  </sheetData>
  <mergeCells count="12">
    <mergeCell ref="C6:F6"/>
    <mergeCell ref="C1:F1"/>
    <mergeCell ref="C2:F2"/>
    <mergeCell ref="C4:F4"/>
    <mergeCell ref="C3:F3"/>
    <mergeCell ref="C5:F5"/>
    <mergeCell ref="C7:F7"/>
    <mergeCell ref="C8:F8"/>
    <mergeCell ref="C10:F10"/>
    <mergeCell ref="C11:F11"/>
    <mergeCell ref="C12:F12"/>
    <mergeCell ref="C9:F9"/>
  </mergeCells>
  <dataValidations count="1">
    <dataValidation type="list" allowBlank="1" showInputMessage="1" showErrorMessage="1" sqref="B12" xr:uid="{29C00D46-462B-4E1F-B9FA-9F5FB29EAA15}">
      <formula1>$N$2:$N$3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DBEA84-441C-47C4-A902-4A5619686272}">
          <x14:formula1>
            <xm:f>StructuralSteel_Table!$I$3:$I$50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8684-7243-4885-9151-5E61E1171A2F}">
  <sheetPr codeName="Sheet4"/>
  <dimension ref="A1:O38"/>
  <sheetViews>
    <sheetView workbookViewId="0"/>
  </sheetViews>
  <sheetFormatPr defaultRowHeight="15" x14ac:dyDescent="0.25"/>
  <cols>
    <col min="1" max="1" width="53.28515625" customWidth="1"/>
    <col min="2" max="2" width="12" bestFit="1" customWidth="1"/>
    <col min="3" max="3" width="8" bestFit="1" customWidth="1"/>
    <col min="4" max="4" width="12" bestFit="1" customWidth="1"/>
    <col min="5" max="5" width="13.28515625" bestFit="1" customWidth="1"/>
    <col min="6" max="6" width="11.5703125" bestFit="1" customWidth="1"/>
    <col min="7" max="7" width="12" bestFit="1" customWidth="1"/>
    <col min="12" max="13" width="0" hidden="1" customWidth="1"/>
    <col min="14" max="14" width="9.140625" hidden="1" customWidth="1"/>
    <col min="15" max="15" width="12.5703125" hidden="1" customWidth="1"/>
    <col min="16" max="17" width="9.140625" customWidth="1"/>
  </cols>
  <sheetData>
    <row r="1" spans="1:15" ht="17.25" x14ac:dyDescent="0.3">
      <c r="A1" s="2" t="s">
        <v>75</v>
      </c>
      <c r="B1" s="1"/>
      <c r="C1" s="183" t="s">
        <v>86</v>
      </c>
      <c r="D1" s="183"/>
      <c r="E1" s="183"/>
      <c r="F1" s="183"/>
      <c r="L1" t="s">
        <v>223</v>
      </c>
      <c r="M1" t="s">
        <v>224</v>
      </c>
      <c r="N1" t="s">
        <v>225</v>
      </c>
      <c r="O1" t="s">
        <v>176</v>
      </c>
    </row>
    <row r="2" spans="1:15" x14ac:dyDescent="0.25">
      <c r="A2" s="4" t="s">
        <v>90</v>
      </c>
      <c r="B2" s="4">
        <f>BridgeInformation!C18</f>
        <v>31</v>
      </c>
      <c r="C2" s="177" t="s">
        <v>260</v>
      </c>
      <c r="D2" s="178"/>
      <c r="E2" s="178"/>
      <c r="F2" s="179"/>
      <c r="L2" cm="1">
        <f t="array" ref="L2:O38">_xlfn._xlws.SORT(_xlfn._xlws.FILTER(StructuralSteel_Table!A3:D55,StructuralSteel_Table!A3:A55&gt;=CompositeSteel!B2),3,1)</f>
        <v>35</v>
      </c>
      <c r="M2" t="str">
        <v>W27x84</v>
      </c>
      <c r="N2">
        <v>84</v>
      </c>
      <c r="O2">
        <v>26.7</v>
      </c>
    </row>
    <row r="3" spans="1:15" x14ac:dyDescent="0.25">
      <c r="A3" s="4" t="s">
        <v>91</v>
      </c>
      <c r="B3" s="4">
        <f>BridgeInformation!C16</f>
        <v>24</v>
      </c>
      <c r="C3" s="177"/>
      <c r="D3" s="178"/>
      <c r="E3" s="178"/>
      <c r="F3" s="179"/>
      <c r="L3">
        <v>35</v>
      </c>
      <c r="M3" t="str">
        <v>W24x94</v>
      </c>
      <c r="N3">
        <v>94</v>
      </c>
      <c r="O3">
        <v>24.3</v>
      </c>
    </row>
    <row r="4" spans="1:15" x14ac:dyDescent="0.25">
      <c r="A4" s="4" t="s">
        <v>92</v>
      </c>
      <c r="B4" s="4">
        <f>BridgeInformation!C15</f>
        <v>32</v>
      </c>
      <c r="C4" s="177"/>
      <c r="D4" s="178"/>
      <c r="E4" s="178"/>
      <c r="F4" s="179"/>
      <c r="L4">
        <v>40</v>
      </c>
      <c r="M4" t="str">
        <v>W30x99</v>
      </c>
      <c r="N4">
        <v>99</v>
      </c>
      <c r="O4">
        <v>29.7</v>
      </c>
    </row>
    <row r="5" spans="1:15" x14ac:dyDescent="0.25">
      <c r="A5" s="4" t="s">
        <v>156</v>
      </c>
      <c r="B5" s="4">
        <f>BridgeInformation!C19</f>
        <v>15</v>
      </c>
      <c r="C5" s="177"/>
      <c r="D5" s="178"/>
      <c r="E5" s="178"/>
      <c r="F5" s="179"/>
      <c r="L5">
        <v>35</v>
      </c>
      <c r="M5" t="str">
        <v>W21x101</v>
      </c>
      <c r="N5">
        <v>101</v>
      </c>
      <c r="O5">
        <v>21.4</v>
      </c>
    </row>
    <row r="6" spans="1:15" hidden="1" x14ac:dyDescent="0.25">
      <c r="A6" s="4" t="s">
        <v>93</v>
      </c>
      <c r="B6" s="12">
        <f>B3</f>
        <v>24</v>
      </c>
      <c r="C6" s="177" t="s">
        <v>174</v>
      </c>
      <c r="D6" s="178"/>
      <c r="E6" s="178"/>
      <c r="F6" s="179"/>
      <c r="L6">
        <v>40</v>
      </c>
      <c r="M6" t="str">
        <v>W27x102</v>
      </c>
      <c r="N6">
        <v>102</v>
      </c>
      <c r="O6">
        <v>27.1</v>
      </c>
    </row>
    <row r="7" spans="1:15" hidden="1" x14ac:dyDescent="0.25">
      <c r="A7" s="4" t="s">
        <v>94</v>
      </c>
      <c r="B7" s="12">
        <f>COS(RADIANS(B5))*B4</f>
        <v>30.909626441250186</v>
      </c>
      <c r="C7" s="177" t="s">
        <v>174</v>
      </c>
      <c r="D7" s="178"/>
      <c r="E7" s="178"/>
      <c r="F7" s="179"/>
      <c r="L7">
        <v>45</v>
      </c>
      <c r="M7" t="str">
        <v>W30x 116</v>
      </c>
      <c r="N7">
        <v>116</v>
      </c>
      <c r="O7">
        <v>30</v>
      </c>
    </row>
    <row r="8" spans="1:15" x14ac:dyDescent="0.25">
      <c r="A8" s="4" t="s">
        <v>229</v>
      </c>
      <c r="B8" s="129" t="str">
        <f>M2</f>
        <v>W27x84</v>
      </c>
      <c r="C8" s="27"/>
      <c r="D8" s="26"/>
      <c r="E8" s="26"/>
      <c r="F8" s="32"/>
      <c r="L8">
        <v>40</v>
      </c>
      <c r="M8" t="str">
        <v>W24x117</v>
      </c>
      <c r="N8">
        <v>117</v>
      </c>
      <c r="O8">
        <v>24.3</v>
      </c>
    </row>
    <row r="9" spans="1:15" x14ac:dyDescent="0.25">
      <c r="A9" s="4" t="s">
        <v>61</v>
      </c>
      <c r="B9" s="4">
        <f>ROUND((B3-0.5)/6,0)+1</f>
        <v>5</v>
      </c>
      <c r="C9" s="177"/>
      <c r="D9" s="178"/>
      <c r="E9" s="178"/>
      <c r="F9" s="179"/>
      <c r="L9">
        <v>45</v>
      </c>
      <c r="M9" t="str">
        <v>W33x118</v>
      </c>
      <c r="N9">
        <v>118</v>
      </c>
      <c r="O9">
        <v>32.9</v>
      </c>
    </row>
    <row r="10" spans="1:15" hidden="1" x14ac:dyDescent="0.25">
      <c r="A10" s="4" t="s">
        <v>73</v>
      </c>
      <c r="B10" s="4">
        <f>IF(B2&lt;=40,(B9-1)*6,(B9-1)*6*3)</f>
        <v>24</v>
      </c>
      <c r="C10" s="180" t="s">
        <v>174</v>
      </c>
      <c r="D10" s="181"/>
      <c r="E10" s="181"/>
      <c r="F10" s="182"/>
      <c r="L10">
        <v>35</v>
      </c>
      <c r="M10" t="str">
        <v>W18x119</v>
      </c>
      <c r="N10">
        <v>119</v>
      </c>
      <c r="O10">
        <v>19</v>
      </c>
    </row>
    <row r="11" spans="1:15" x14ac:dyDescent="0.25">
      <c r="L11">
        <v>40</v>
      </c>
      <c r="M11" t="str">
        <v>W21x122</v>
      </c>
      <c r="N11">
        <v>122</v>
      </c>
      <c r="O11">
        <v>21.7</v>
      </c>
    </row>
    <row r="12" spans="1:15" ht="15.75" x14ac:dyDescent="0.25">
      <c r="A12" s="197" t="s">
        <v>83</v>
      </c>
      <c r="B12" s="198"/>
      <c r="L12">
        <v>45</v>
      </c>
      <c r="M12" t="str">
        <v>W27x129</v>
      </c>
      <c r="N12">
        <v>129</v>
      </c>
      <c r="O12">
        <v>27.6</v>
      </c>
    </row>
    <row r="13" spans="1:15" x14ac:dyDescent="0.25">
      <c r="A13" s="4" t="s">
        <v>82</v>
      </c>
      <c r="B13" s="16">
        <f>(B4-4/12)*(B3-4/12)*(3.129+5.006)</f>
        <v>6096.7305555555558</v>
      </c>
      <c r="L13">
        <v>40</v>
      </c>
      <c r="M13" t="str">
        <v>W18x130</v>
      </c>
      <c r="N13">
        <v>130</v>
      </c>
      <c r="O13">
        <v>19.3</v>
      </c>
    </row>
    <row r="14" spans="1:15" x14ac:dyDescent="0.25">
      <c r="A14" s="4" t="s">
        <v>24</v>
      </c>
      <c r="B14" s="4">
        <v>8</v>
      </c>
      <c r="L14">
        <v>50</v>
      </c>
      <c r="M14" t="str">
        <v>W33x130</v>
      </c>
      <c r="N14">
        <v>130</v>
      </c>
      <c r="O14">
        <v>33.1</v>
      </c>
    </row>
    <row r="15" spans="1:15" x14ac:dyDescent="0.25">
      <c r="A15" s="4" t="s">
        <v>231</v>
      </c>
      <c r="B15" s="4">
        <f>VLOOKUP(B8,StructuralSteel_Table!B3:C55,2,FALSE)</f>
        <v>84</v>
      </c>
      <c r="L15">
        <v>45</v>
      </c>
      <c r="M15" t="str">
        <v>W24x131</v>
      </c>
      <c r="N15">
        <v>131</v>
      </c>
      <c r="O15">
        <v>24.5</v>
      </c>
    </row>
    <row r="16" spans="1:15" x14ac:dyDescent="0.25">
      <c r="L16">
        <v>35</v>
      </c>
      <c r="M16" t="str">
        <v>W14x132</v>
      </c>
      <c r="N16">
        <v>132</v>
      </c>
      <c r="O16">
        <v>14.7</v>
      </c>
    </row>
    <row r="17" spans="1:15" x14ac:dyDescent="0.25">
      <c r="L17">
        <v>50</v>
      </c>
      <c r="M17" t="str">
        <v>W30x132</v>
      </c>
      <c r="N17">
        <v>132</v>
      </c>
      <c r="O17">
        <v>30.3</v>
      </c>
    </row>
    <row r="18" spans="1:15" ht="15.75" x14ac:dyDescent="0.25">
      <c r="A18" s="15" t="s">
        <v>33</v>
      </c>
      <c r="B18" s="15" t="s">
        <v>31</v>
      </c>
      <c r="C18" s="15" t="s">
        <v>29</v>
      </c>
      <c r="D18" s="15" t="s">
        <v>34</v>
      </c>
      <c r="E18" s="15" t="s">
        <v>35</v>
      </c>
      <c r="F18" s="13"/>
      <c r="L18">
        <v>55</v>
      </c>
      <c r="M18" t="str">
        <v>W36x135</v>
      </c>
      <c r="N18">
        <v>135</v>
      </c>
      <c r="O18">
        <v>35.6</v>
      </c>
    </row>
    <row r="19" spans="1:15" x14ac:dyDescent="0.25">
      <c r="A19" s="131" t="str">
        <f>CONCATENATE(B8," Structural Steal Beam x ",B9," x ",B4," ft")</f>
        <v>W27x84 Structural Steal Beam x 5 x 32 ft</v>
      </c>
      <c r="B19" s="4">
        <f>B9*B4</f>
        <v>160</v>
      </c>
      <c r="C19" s="4" t="s">
        <v>40</v>
      </c>
      <c r="D19" s="8">
        <f>B15*5</f>
        <v>420</v>
      </c>
      <c r="E19" s="10">
        <f t="shared" ref="E19:E24" si="0">D19*B19</f>
        <v>67200</v>
      </c>
      <c r="F19" s="14"/>
      <c r="L19">
        <v>55</v>
      </c>
      <c r="M19" t="str">
        <v>W33x141</v>
      </c>
      <c r="N19">
        <v>141</v>
      </c>
      <c r="O19">
        <v>33.299999999999997</v>
      </c>
    </row>
    <row r="20" spans="1:15" x14ac:dyDescent="0.25">
      <c r="A20" s="4" t="s">
        <v>74</v>
      </c>
      <c r="B20" s="4">
        <f>B10</f>
        <v>24</v>
      </c>
      <c r="C20" s="4" t="s">
        <v>40</v>
      </c>
      <c r="D20" s="8">
        <f>1.5*9.8</f>
        <v>14.700000000000001</v>
      </c>
      <c r="E20" s="8">
        <f t="shared" si="0"/>
        <v>352.8</v>
      </c>
      <c r="F20" s="14"/>
      <c r="L20">
        <v>50</v>
      </c>
      <c r="M20" t="str">
        <v>W27x146</v>
      </c>
      <c r="N20">
        <v>146</v>
      </c>
      <c r="O20">
        <v>27.4</v>
      </c>
    </row>
    <row r="21" spans="1:15" x14ac:dyDescent="0.25">
      <c r="A21" s="4" t="s">
        <v>30</v>
      </c>
      <c r="B21" s="16">
        <f>(B4*B3*B14/12)/27</f>
        <v>18.962962962962962</v>
      </c>
      <c r="C21" s="4" t="s">
        <v>32</v>
      </c>
      <c r="D21" s="8">
        <v>2000</v>
      </c>
      <c r="E21" s="8">
        <f t="shared" si="0"/>
        <v>37925.925925925927</v>
      </c>
      <c r="F21" s="14"/>
      <c r="L21">
        <v>45</v>
      </c>
      <c r="M21" t="str">
        <v>W21x147</v>
      </c>
      <c r="N21">
        <v>147</v>
      </c>
      <c r="O21">
        <v>22.1</v>
      </c>
    </row>
    <row r="22" spans="1:15" x14ac:dyDescent="0.25">
      <c r="A22" s="4" t="s">
        <v>36</v>
      </c>
      <c r="B22" s="20">
        <f>B13</f>
        <v>6096.7305555555558</v>
      </c>
      <c r="C22" t="s">
        <v>84</v>
      </c>
      <c r="D22" s="8">
        <v>2.1</v>
      </c>
      <c r="E22" s="8">
        <f t="shared" si="0"/>
        <v>12803.134166666669</v>
      </c>
      <c r="F22" s="14"/>
      <c r="L22">
        <v>55</v>
      </c>
      <c r="M22" t="str">
        <v>W30x148</v>
      </c>
      <c r="N22">
        <v>148</v>
      </c>
      <c r="O22">
        <v>30.7</v>
      </c>
    </row>
    <row r="23" spans="1:15" x14ac:dyDescent="0.25">
      <c r="A23" s="4" t="s">
        <v>38</v>
      </c>
      <c r="B23" s="4">
        <f>ROUND(2*B6,0)</f>
        <v>48</v>
      </c>
      <c r="C23" s="4" t="s">
        <v>40</v>
      </c>
      <c r="D23" s="8">
        <v>133.49</v>
      </c>
      <c r="E23" s="8">
        <f t="shared" si="0"/>
        <v>6407.52</v>
      </c>
      <c r="F23" s="14"/>
      <c r="L23">
        <v>60</v>
      </c>
      <c r="M23" t="str">
        <v>W36x150</v>
      </c>
      <c r="N23">
        <v>150</v>
      </c>
      <c r="O23">
        <v>35.9</v>
      </c>
    </row>
    <row r="24" spans="1:15" x14ac:dyDescent="0.25">
      <c r="A24" s="4" t="s">
        <v>71</v>
      </c>
      <c r="B24" s="4">
        <f>ROUND(2*B7,0)</f>
        <v>62</v>
      </c>
      <c r="C24" s="4" t="s">
        <v>40</v>
      </c>
      <c r="D24" s="8">
        <v>187</v>
      </c>
      <c r="E24" s="8">
        <f t="shared" si="0"/>
        <v>11594</v>
      </c>
      <c r="F24" s="14"/>
      <c r="L24">
        <v>35</v>
      </c>
      <c r="M24" t="str">
        <v>W12x152</v>
      </c>
      <c r="N24">
        <v>152</v>
      </c>
      <c r="O24">
        <v>13.7</v>
      </c>
    </row>
    <row r="25" spans="1:15" x14ac:dyDescent="0.25">
      <c r="A25" s="4" t="s">
        <v>41</v>
      </c>
      <c r="B25" s="12">
        <f>4*B6*2/27</f>
        <v>7.1111111111111107</v>
      </c>
      <c r="C25" s="4" t="s">
        <v>32</v>
      </c>
      <c r="D25" s="8">
        <v>83.89</v>
      </c>
      <c r="E25" s="10">
        <f>IF(BridgeInformation!$B$9="Superstructure Replacement",D25*B25,0)</f>
        <v>0</v>
      </c>
      <c r="F25" s="14"/>
      <c r="L25">
        <v>45</v>
      </c>
      <c r="M25" t="str">
        <v>W18x158</v>
      </c>
      <c r="N25">
        <v>158</v>
      </c>
      <c r="O25">
        <v>19.7</v>
      </c>
    </row>
    <row r="26" spans="1:15" x14ac:dyDescent="0.25">
      <c r="A26" s="5" t="s">
        <v>48</v>
      </c>
      <c r="B26" s="112" t="s">
        <v>435</v>
      </c>
      <c r="C26" s="112" t="s">
        <v>435</v>
      </c>
      <c r="D26" s="112" t="s">
        <v>435</v>
      </c>
      <c r="E26" s="11">
        <f>SUM(E19:E25)</f>
        <v>136283.38009259262</v>
      </c>
      <c r="L26">
        <v>50</v>
      </c>
      <c r="M26" t="str">
        <v>W24x162</v>
      </c>
      <c r="N26">
        <v>162</v>
      </c>
      <c r="O26">
        <v>25</v>
      </c>
    </row>
    <row r="27" spans="1:15" x14ac:dyDescent="0.25">
      <c r="L27">
        <v>60</v>
      </c>
      <c r="M27" t="str">
        <v>W33x169</v>
      </c>
      <c r="N27">
        <v>169</v>
      </c>
      <c r="O27">
        <v>33.799999999999997</v>
      </c>
    </row>
    <row r="28" spans="1:15" x14ac:dyDescent="0.25">
      <c r="L28">
        <v>60</v>
      </c>
      <c r="M28" t="str">
        <v>W30x173</v>
      </c>
      <c r="N28">
        <v>173</v>
      </c>
      <c r="O28">
        <v>30.4</v>
      </c>
    </row>
    <row r="29" spans="1:15" ht="17.25" x14ac:dyDescent="0.3">
      <c r="A29" s="55" t="s">
        <v>278</v>
      </c>
      <c r="L29">
        <v>40</v>
      </c>
      <c r="M29" t="str">
        <v>W14x176</v>
      </c>
      <c r="N29">
        <v>176</v>
      </c>
      <c r="O29">
        <v>15.2</v>
      </c>
    </row>
    <row r="30" spans="1:15" ht="15.75" x14ac:dyDescent="0.25">
      <c r="A30" s="56" t="s">
        <v>283</v>
      </c>
      <c r="L30">
        <v>55</v>
      </c>
      <c r="M30" t="str">
        <v>W27x178</v>
      </c>
      <c r="N30">
        <v>178</v>
      </c>
      <c r="O30">
        <v>27.8</v>
      </c>
    </row>
    <row r="31" spans="1:15" x14ac:dyDescent="0.25">
      <c r="A31" s="54" t="s">
        <v>306</v>
      </c>
      <c r="L31">
        <v>50</v>
      </c>
      <c r="M31" t="str">
        <v>W2x182</v>
      </c>
      <c r="N31">
        <v>182</v>
      </c>
      <c r="O31">
        <v>22.7</v>
      </c>
    </row>
    <row r="32" spans="1:15" x14ac:dyDescent="0.25">
      <c r="A32" s="54" t="s">
        <v>307</v>
      </c>
      <c r="L32">
        <v>40</v>
      </c>
      <c r="M32" t="str">
        <v>W12x190</v>
      </c>
      <c r="N32">
        <v>190</v>
      </c>
      <c r="O32">
        <v>14.4</v>
      </c>
    </row>
    <row r="33" spans="1:15" x14ac:dyDescent="0.25">
      <c r="A33" s="54" t="s">
        <v>308</v>
      </c>
      <c r="L33">
        <v>50</v>
      </c>
      <c r="M33" t="str">
        <v>WJ8x192</v>
      </c>
      <c r="N33">
        <v>192</v>
      </c>
      <c r="O33">
        <v>20.399999999999999</v>
      </c>
    </row>
    <row r="34" spans="1:15" x14ac:dyDescent="0.25">
      <c r="A34" s="54" t="s">
        <v>309</v>
      </c>
      <c r="L34">
        <v>55</v>
      </c>
      <c r="M34" t="str">
        <v>W24x192</v>
      </c>
      <c r="N34">
        <v>192</v>
      </c>
      <c r="O34">
        <v>25.5</v>
      </c>
    </row>
    <row r="35" spans="1:15" x14ac:dyDescent="0.25">
      <c r="A35" s="54" t="s">
        <v>310</v>
      </c>
      <c r="L35">
        <v>60</v>
      </c>
      <c r="M35" t="str">
        <v>W27x194</v>
      </c>
      <c r="N35">
        <v>194</v>
      </c>
      <c r="O35">
        <v>28.1</v>
      </c>
    </row>
    <row r="36" spans="1:15" ht="15.75" x14ac:dyDescent="0.25">
      <c r="A36" s="56" t="s">
        <v>305</v>
      </c>
      <c r="L36">
        <v>55</v>
      </c>
      <c r="M36" t="str">
        <v>W21x223</v>
      </c>
      <c r="N36">
        <v>223</v>
      </c>
      <c r="O36">
        <v>23.4</v>
      </c>
    </row>
    <row r="37" spans="1:15" x14ac:dyDescent="0.25">
      <c r="A37" s="54" t="s">
        <v>304</v>
      </c>
      <c r="L37">
        <v>60</v>
      </c>
      <c r="M37" t="str">
        <v>W24x229</v>
      </c>
      <c r="N37">
        <v>229</v>
      </c>
      <c r="O37">
        <v>26</v>
      </c>
    </row>
    <row r="38" spans="1:15" x14ac:dyDescent="0.25">
      <c r="A38" s="54" t="s">
        <v>281</v>
      </c>
      <c r="L38">
        <v>55</v>
      </c>
      <c r="M38" t="str">
        <v>W18x258</v>
      </c>
      <c r="N38">
        <v>258</v>
      </c>
      <c r="O38">
        <v>21.5</v>
      </c>
    </row>
  </sheetData>
  <mergeCells count="10">
    <mergeCell ref="C10:F10"/>
    <mergeCell ref="A12:B12"/>
    <mergeCell ref="C2:F2"/>
    <mergeCell ref="C3:F3"/>
    <mergeCell ref="C1:F1"/>
    <mergeCell ref="C4:F4"/>
    <mergeCell ref="C5:F5"/>
    <mergeCell ref="C6:F6"/>
    <mergeCell ref="C7:F7"/>
    <mergeCell ref="C9:F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8C684-A5F5-4ABF-8170-FF7A01D089B5}">
          <x14:formula1>
            <xm:f>StructuralSteel_Table!$B$3:$B$55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B05B-2725-4F0E-B12A-7B88DCF4C778}">
  <sheetPr codeName="Sheet5"/>
  <dimension ref="A1:T37"/>
  <sheetViews>
    <sheetView workbookViewId="0"/>
  </sheetViews>
  <sheetFormatPr defaultRowHeight="15" x14ac:dyDescent="0.25"/>
  <cols>
    <col min="1" max="1" width="56.140625" bestFit="1" customWidth="1"/>
    <col min="2" max="2" width="17" bestFit="1" customWidth="1"/>
    <col min="3" max="3" width="8" bestFit="1" customWidth="1"/>
    <col min="4" max="4" width="12" bestFit="1" customWidth="1"/>
    <col min="5" max="5" width="12.5703125" bestFit="1" customWidth="1"/>
    <col min="6" max="6" width="28.28515625" customWidth="1"/>
    <col min="7" max="7" width="12" bestFit="1" customWidth="1"/>
    <col min="10" max="13" width="0" hidden="1" customWidth="1"/>
    <col min="14" max="14" width="9.140625" hidden="1" customWidth="1"/>
    <col min="15" max="15" width="12.5703125" hidden="1" customWidth="1"/>
    <col min="16" max="20" width="9.140625" hidden="1" customWidth="1"/>
    <col min="21" max="21" width="9.140625" customWidth="1"/>
  </cols>
  <sheetData>
    <row r="1" spans="1:20" ht="17.25" x14ac:dyDescent="0.3">
      <c r="A1" s="33" t="s">
        <v>43</v>
      </c>
      <c r="B1" s="34"/>
      <c r="C1" s="200" t="s">
        <v>63</v>
      </c>
      <c r="D1" s="200"/>
      <c r="E1" s="200"/>
      <c r="F1" s="200"/>
      <c r="J1" t="s">
        <v>148</v>
      </c>
      <c r="K1" t="s">
        <v>165</v>
      </c>
      <c r="L1" t="s">
        <v>112</v>
      </c>
      <c r="M1" t="s">
        <v>172</v>
      </c>
      <c r="N1" t="s">
        <v>166</v>
      </c>
      <c r="O1" t="s">
        <v>32</v>
      </c>
      <c r="P1" t="s">
        <v>158</v>
      </c>
      <c r="S1" t="s">
        <v>148</v>
      </c>
    </row>
    <row r="2" spans="1:20" x14ac:dyDescent="0.25">
      <c r="A2" s="4" t="s">
        <v>90</v>
      </c>
      <c r="B2" s="4">
        <f>BridgeInformation!C18</f>
        <v>31</v>
      </c>
      <c r="C2" s="178" t="s">
        <v>102</v>
      </c>
      <c r="D2" s="178"/>
      <c r="E2" s="178"/>
      <c r="F2" s="178"/>
      <c r="J2">
        <v>0</v>
      </c>
      <c r="K2">
        <v>16</v>
      </c>
      <c r="L2" t="s">
        <v>167</v>
      </c>
      <c r="M2" t="str">
        <f>CONCATENATE(J2,K2,L2)</f>
        <v>016H1</v>
      </c>
      <c r="N2">
        <v>3</v>
      </c>
      <c r="O2">
        <v>9.8000000000000007</v>
      </c>
      <c r="P2">
        <v>991</v>
      </c>
      <c r="S2">
        <v>0</v>
      </c>
      <c r="T2" s="54" t="s">
        <v>311</v>
      </c>
    </row>
    <row r="3" spans="1:20" x14ac:dyDescent="0.25">
      <c r="A3" s="4" t="s">
        <v>91</v>
      </c>
      <c r="B3" s="4">
        <f>BridgeInformation!C16</f>
        <v>24</v>
      </c>
      <c r="C3" s="185"/>
      <c r="D3" s="185"/>
      <c r="E3" s="185"/>
      <c r="F3" s="185"/>
      <c r="J3">
        <v>0</v>
      </c>
      <c r="K3">
        <v>16</v>
      </c>
      <c r="L3" t="s">
        <v>168</v>
      </c>
      <c r="M3" t="str">
        <f t="shared" ref="M3:M10" si="0">CONCATENATE(J3,K3,L3)</f>
        <v>016H2</v>
      </c>
      <c r="N3">
        <v>4</v>
      </c>
      <c r="O3">
        <v>12.2</v>
      </c>
      <c r="P3">
        <v>1175</v>
      </c>
      <c r="S3">
        <v>15</v>
      </c>
      <c r="T3" s="54" t="s">
        <v>312</v>
      </c>
    </row>
    <row r="4" spans="1:20" x14ac:dyDescent="0.25">
      <c r="A4" s="4" t="s">
        <v>92</v>
      </c>
      <c r="B4" s="12">
        <f>BridgeInformation!C15</f>
        <v>32</v>
      </c>
      <c r="C4" s="185"/>
      <c r="D4" s="185"/>
      <c r="E4" s="185"/>
      <c r="F4" s="185"/>
      <c r="J4">
        <v>0</v>
      </c>
      <c r="K4">
        <v>16</v>
      </c>
      <c r="L4" t="s">
        <v>169</v>
      </c>
      <c r="M4" t="str">
        <f t="shared" si="0"/>
        <v>016H3</v>
      </c>
      <c r="N4">
        <v>4</v>
      </c>
      <c r="O4">
        <v>16.8</v>
      </c>
      <c r="P4">
        <v>1527</v>
      </c>
      <c r="S4">
        <v>30</v>
      </c>
      <c r="T4" s="54" t="s">
        <v>313</v>
      </c>
    </row>
    <row r="5" spans="1:20" x14ac:dyDescent="0.25">
      <c r="A5" s="4" t="s">
        <v>156</v>
      </c>
      <c r="B5" s="4">
        <f>ROUND(BridgeInformation!C19/15,0)*15</f>
        <v>15</v>
      </c>
      <c r="C5" s="199" t="s">
        <v>407</v>
      </c>
      <c r="D5" s="199"/>
      <c r="E5" s="199"/>
      <c r="F5" s="199"/>
      <c r="J5">
        <v>0</v>
      </c>
      <c r="K5">
        <v>24</v>
      </c>
      <c r="L5" t="s">
        <v>167</v>
      </c>
      <c r="M5" t="str">
        <f t="shared" si="0"/>
        <v>024H1</v>
      </c>
      <c r="N5">
        <v>4</v>
      </c>
      <c r="O5">
        <v>12.4</v>
      </c>
      <c r="P5">
        <v>1297</v>
      </c>
      <c r="S5">
        <v>45</v>
      </c>
      <c r="T5" s="54" t="s">
        <v>314</v>
      </c>
    </row>
    <row r="6" spans="1:20" x14ac:dyDescent="0.25">
      <c r="A6" s="4" t="s">
        <v>160</v>
      </c>
      <c r="B6" s="12">
        <f>BridgeInformation!H10</f>
        <v>12</v>
      </c>
      <c r="C6" s="199" t="s">
        <v>405</v>
      </c>
      <c r="D6" s="199"/>
      <c r="E6" s="199"/>
      <c r="F6" s="199"/>
      <c r="J6">
        <v>0</v>
      </c>
      <c r="K6">
        <v>24</v>
      </c>
      <c r="L6" t="s">
        <v>168</v>
      </c>
      <c r="M6" t="str">
        <f t="shared" si="0"/>
        <v>024H2</v>
      </c>
      <c r="N6">
        <v>5</v>
      </c>
      <c r="O6">
        <v>14.8</v>
      </c>
      <c r="P6">
        <v>1469</v>
      </c>
    </row>
    <row r="7" spans="1:20" x14ac:dyDescent="0.25">
      <c r="A7" s="4" t="s">
        <v>24</v>
      </c>
      <c r="B7" s="12">
        <f>BridgeInformation!H11</f>
        <v>5</v>
      </c>
      <c r="C7" s="199" t="s">
        <v>405</v>
      </c>
      <c r="D7" s="199"/>
      <c r="E7" s="199"/>
      <c r="F7" s="199"/>
      <c r="J7">
        <v>0</v>
      </c>
      <c r="K7">
        <v>24</v>
      </c>
      <c r="L7" t="s">
        <v>169</v>
      </c>
      <c r="M7" t="str">
        <f t="shared" si="0"/>
        <v>024H3</v>
      </c>
      <c r="N7">
        <v>5</v>
      </c>
      <c r="O7">
        <v>19.399999999999999</v>
      </c>
      <c r="P7">
        <v>1833</v>
      </c>
      <c r="S7" t="s">
        <v>316</v>
      </c>
    </row>
    <row r="8" spans="1:20" x14ac:dyDescent="0.25">
      <c r="A8" s="4" t="s">
        <v>161</v>
      </c>
      <c r="B8" s="36" t="str">
        <f>IF(SUM(B6:B7)&lt;27,"H1",IF(SUM(B6:B7)&lt;35,"H2",IF(SUM(B6:B7)&lt;50,"H3","Error")))</f>
        <v>H1</v>
      </c>
      <c r="C8" s="199" t="s">
        <v>164</v>
      </c>
      <c r="D8" s="199"/>
      <c r="E8" s="199"/>
      <c r="F8" s="199"/>
      <c r="J8">
        <v>0</v>
      </c>
      <c r="K8">
        <v>32</v>
      </c>
      <c r="L8" t="s">
        <v>167</v>
      </c>
      <c r="M8" t="str">
        <f t="shared" si="0"/>
        <v>032H1</v>
      </c>
      <c r="N8">
        <v>5</v>
      </c>
      <c r="O8">
        <v>15.1</v>
      </c>
      <c r="P8">
        <v>1604</v>
      </c>
      <c r="S8" t="s">
        <v>317</v>
      </c>
      <c r="T8" s="54" t="s">
        <v>318</v>
      </c>
    </row>
    <row r="9" spans="1:20" x14ac:dyDescent="0.25">
      <c r="A9" s="4" t="s">
        <v>162</v>
      </c>
      <c r="B9" s="16">
        <f>IF(B3&gt;32,"Error",IF(B3&gt;24,32,IF(B3&gt;16,24,16)))</f>
        <v>24</v>
      </c>
      <c r="C9" s="199" t="s">
        <v>406</v>
      </c>
      <c r="D9" s="199"/>
      <c r="E9" s="199"/>
      <c r="F9" s="199"/>
      <c r="J9">
        <v>0</v>
      </c>
      <c r="K9">
        <v>32</v>
      </c>
      <c r="L9" t="s">
        <v>168</v>
      </c>
      <c r="M9" t="str">
        <f t="shared" si="0"/>
        <v>032H2</v>
      </c>
      <c r="N9">
        <v>6</v>
      </c>
      <c r="O9">
        <v>17.5</v>
      </c>
      <c r="P9">
        <v>1787</v>
      </c>
      <c r="S9" t="s">
        <v>320</v>
      </c>
      <c r="T9" s="54" t="s">
        <v>319</v>
      </c>
    </row>
    <row r="10" spans="1:20" hidden="1" x14ac:dyDescent="0.25">
      <c r="A10" s="4" t="s">
        <v>173</v>
      </c>
      <c r="B10" s="37" t="str">
        <f>CONCATENATE(B5,B9,B8)</f>
        <v>1524H1</v>
      </c>
      <c r="C10" s="199" t="s">
        <v>171</v>
      </c>
      <c r="D10" s="199"/>
      <c r="E10" s="199"/>
      <c r="F10" s="199"/>
      <c r="J10">
        <v>0</v>
      </c>
      <c r="K10">
        <v>32</v>
      </c>
      <c r="L10" t="s">
        <v>169</v>
      </c>
      <c r="M10" t="str">
        <f t="shared" si="0"/>
        <v>032H3</v>
      </c>
      <c r="N10">
        <v>6</v>
      </c>
      <c r="O10">
        <v>22.1</v>
      </c>
      <c r="P10">
        <v>2139</v>
      </c>
    </row>
    <row r="11" spans="1:20" x14ac:dyDescent="0.25">
      <c r="A11" s="4" t="s">
        <v>170</v>
      </c>
      <c r="B11" s="4">
        <f>BridgeInformation!C22</f>
        <v>10</v>
      </c>
      <c r="J11">
        <v>15</v>
      </c>
      <c r="K11">
        <v>16</v>
      </c>
      <c r="L11" t="s">
        <v>167</v>
      </c>
      <c r="M11" t="str">
        <f>CONCATENATE(J11,K11,L11)</f>
        <v>1516H1</v>
      </c>
      <c r="N11">
        <v>3</v>
      </c>
      <c r="O11">
        <v>10.199999999999999</v>
      </c>
      <c r="P11">
        <v>1024</v>
      </c>
    </row>
    <row r="12" spans="1:20" x14ac:dyDescent="0.25">
      <c r="A12" s="4" t="s">
        <v>315</v>
      </c>
      <c r="B12" s="130" t="s">
        <v>317</v>
      </c>
      <c r="J12">
        <v>15</v>
      </c>
      <c r="K12">
        <v>16</v>
      </c>
      <c r="L12" t="s">
        <v>168</v>
      </c>
      <c r="M12" t="str">
        <f t="shared" ref="M12:M19" si="1">CONCATENATE(J12,K12,L12)</f>
        <v>1516H2</v>
      </c>
      <c r="N12">
        <v>4</v>
      </c>
      <c r="O12">
        <v>12.6</v>
      </c>
      <c r="P12">
        <v>1203</v>
      </c>
    </row>
    <row r="13" spans="1:20" x14ac:dyDescent="0.25">
      <c r="J13">
        <v>15</v>
      </c>
      <c r="K13">
        <v>16</v>
      </c>
      <c r="L13" t="s">
        <v>169</v>
      </c>
      <c r="M13" t="str">
        <f t="shared" si="1"/>
        <v>1516H3</v>
      </c>
      <c r="N13">
        <v>4</v>
      </c>
      <c r="O13">
        <v>17.5</v>
      </c>
      <c r="P13">
        <v>1578</v>
      </c>
    </row>
    <row r="14" spans="1:20" x14ac:dyDescent="0.25">
      <c r="J14">
        <v>15</v>
      </c>
      <c r="K14">
        <v>24</v>
      </c>
      <c r="L14" t="s">
        <v>167</v>
      </c>
      <c r="M14" t="str">
        <f t="shared" si="1"/>
        <v>1524H1</v>
      </c>
      <c r="N14">
        <v>4</v>
      </c>
      <c r="O14">
        <v>12.9</v>
      </c>
      <c r="P14">
        <v>1340</v>
      </c>
    </row>
    <row r="15" spans="1:20" ht="15.75" x14ac:dyDescent="0.25">
      <c r="A15" s="7" t="s">
        <v>33</v>
      </c>
      <c r="B15" s="7" t="s">
        <v>31</v>
      </c>
      <c r="C15" s="7" t="s">
        <v>29</v>
      </c>
      <c r="D15" s="7" t="s">
        <v>34</v>
      </c>
      <c r="E15" s="7" t="s">
        <v>35</v>
      </c>
      <c r="J15">
        <v>15</v>
      </c>
      <c r="K15">
        <v>24</v>
      </c>
      <c r="L15" t="s">
        <v>168</v>
      </c>
      <c r="M15" t="str">
        <f t="shared" si="1"/>
        <v>1524H2</v>
      </c>
      <c r="N15">
        <v>5</v>
      </c>
      <c r="O15">
        <v>15.4</v>
      </c>
      <c r="P15">
        <v>1553</v>
      </c>
    </row>
    <row r="16" spans="1:20" x14ac:dyDescent="0.25">
      <c r="A16" s="4" t="s">
        <v>362</v>
      </c>
      <c r="B16" s="4">
        <f>VLOOKUP(B10,M2:P37,3,FALSE)</f>
        <v>12.9</v>
      </c>
      <c r="C16" s="28" t="s">
        <v>32</v>
      </c>
      <c r="D16" s="8">
        <v>1300</v>
      </c>
      <c r="E16" s="10">
        <f>D16*B16</f>
        <v>16770</v>
      </c>
      <c r="J16">
        <v>15</v>
      </c>
      <c r="K16">
        <v>24</v>
      </c>
      <c r="L16" t="s">
        <v>169</v>
      </c>
      <c r="M16" t="str">
        <f t="shared" si="1"/>
        <v>1524H3</v>
      </c>
      <c r="N16">
        <v>5</v>
      </c>
      <c r="O16">
        <v>20.2</v>
      </c>
      <c r="P16">
        <v>1887</v>
      </c>
    </row>
    <row r="17" spans="1:16" x14ac:dyDescent="0.25">
      <c r="A17" s="4" t="s">
        <v>36</v>
      </c>
      <c r="B17" s="9">
        <f>VLOOKUP(B10,M2:P37,4,FALSE)</f>
        <v>1340</v>
      </c>
      <c r="C17" s="28" t="s">
        <v>37</v>
      </c>
      <c r="D17" s="8">
        <v>2.1</v>
      </c>
      <c r="E17" s="10">
        <f>D17*B17</f>
        <v>2814</v>
      </c>
      <c r="J17">
        <v>15</v>
      </c>
      <c r="K17">
        <v>32</v>
      </c>
      <c r="L17" t="s">
        <v>167</v>
      </c>
      <c r="M17" t="str">
        <f t="shared" si="1"/>
        <v>1532H1</v>
      </c>
      <c r="N17">
        <v>6</v>
      </c>
      <c r="O17">
        <v>15.7</v>
      </c>
      <c r="P17">
        <v>1653</v>
      </c>
    </row>
    <row r="18" spans="1:16" x14ac:dyDescent="0.25">
      <c r="A18" s="4" t="str">
        <f>CONCATENATE("HP12x53 Piling  (",VLOOKUP(B10,M2:P37,2,FALSE)," x ",B11," ft)")</f>
        <v>HP12x53 Piling  (4 x 10 ft)</v>
      </c>
      <c r="B18" s="19">
        <f>B11*VLOOKUP(B10,M2:P37,2,FALSE)</f>
        <v>40</v>
      </c>
      <c r="C18" s="28" t="s">
        <v>40</v>
      </c>
      <c r="D18" s="8">
        <v>88.94</v>
      </c>
      <c r="E18" s="10">
        <f t="shared" ref="E18:E19" si="2">D18*B18</f>
        <v>3557.6</v>
      </c>
      <c r="F18" s="45"/>
      <c r="J18">
        <v>15</v>
      </c>
      <c r="K18">
        <v>32</v>
      </c>
      <c r="L18" t="s">
        <v>168</v>
      </c>
      <c r="M18" t="str">
        <f t="shared" si="1"/>
        <v>1532H2</v>
      </c>
      <c r="N18">
        <v>6</v>
      </c>
      <c r="O18">
        <v>18.2</v>
      </c>
      <c r="P18">
        <v>1866</v>
      </c>
    </row>
    <row r="19" spans="1:16" x14ac:dyDescent="0.25">
      <c r="A19" s="38" t="str">
        <f>CONCATENATE("16-inch Pipe Pile  (",VLOOKUP(B10,M2:P37,2,FALSE)," x ",B11," ft)")</f>
        <v>16-inch Pipe Pile  (4 x 10 ft)</v>
      </c>
      <c r="B19" s="39"/>
      <c r="C19" s="74" t="s">
        <v>40</v>
      </c>
      <c r="D19" s="40">
        <v>88.94</v>
      </c>
      <c r="E19" s="41">
        <f t="shared" si="2"/>
        <v>0</v>
      </c>
      <c r="J19">
        <v>15</v>
      </c>
      <c r="K19">
        <v>32</v>
      </c>
      <c r="L19" t="s">
        <v>169</v>
      </c>
      <c r="M19" t="str">
        <f t="shared" si="1"/>
        <v>1532H3</v>
      </c>
      <c r="N19">
        <v>7</v>
      </c>
      <c r="O19">
        <v>23</v>
      </c>
      <c r="P19">
        <v>2219</v>
      </c>
    </row>
    <row r="20" spans="1:16" x14ac:dyDescent="0.25">
      <c r="A20" s="4" t="s">
        <v>42</v>
      </c>
      <c r="B20" s="4">
        <v>1</v>
      </c>
      <c r="C20" s="28" t="s">
        <v>47</v>
      </c>
      <c r="D20" s="8">
        <v>15000</v>
      </c>
      <c r="E20" s="10">
        <f>D20*B20</f>
        <v>15000</v>
      </c>
      <c r="J20">
        <v>30</v>
      </c>
      <c r="K20">
        <v>16</v>
      </c>
      <c r="L20" t="s">
        <v>167</v>
      </c>
      <c r="M20" t="str">
        <f>CONCATENATE(J20,K20,L20)</f>
        <v>3016H1</v>
      </c>
      <c r="N20">
        <v>4</v>
      </c>
      <c r="O20">
        <v>11.3</v>
      </c>
      <c r="P20">
        <v>1132</v>
      </c>
    </row>
    <row r="21" spans="1:16" x14ac:dyDescent="0.25">
      <c r="A21" s="4" t="s">
        <v>87</v>
      </c>
      <c r="B21" s="4"/>
      <c r="C21" s="28" t="s">
        <v>76</v>
      </c>
      <c r="D21" s="8">
        <v>54.77</v>
      </c>
      <c r="E21" s="10">
        <f>D21*B21</f>
        <v>0</v>
      </c>
      <c r="J21">
        <v>30</v>
      </c>
      <c r="K21">
        <v>16</v>
      </c>
      <c r="L21" t="s">
        <v>168</v>
      </c>
      <c r="M21" t="str">
        <f t="shared" ref="M21:M28" si="3">CONCATENATE(J21,K21,L21)</f>
        <v>3016H2</v>
      </c>
      <c r="N21">
        <v>4</v>
      </c>
      <c r="O21">
        <v>14.1</v>
      </c>
      <c r="P21">
        <v>1345</v>
      </c>
    </row>
    <row r="22" spans="1:16" x14ac:dyDescent="0.25">
      <c r="A22" s="5" t="s">
        <v>48</v>
      </c>
      <c r="B22" s="112" t="s">
        <v>435</v>
      </c>
      <c r="C22" s="112" t="s">
        <v>435</v>
      </c>
      <c r="D22" s="112" t="s">
        <v>435</v>
      </c>
      <c r="E22" s="11">
        <f>SUM(E16:E21)</f>
        <v>38141.599999999999</v>
      </c>
      <c r="J22">
        <v>30</v>
      </c>
      <c r="K22">
        <v>16</v>
      </c>
      <c r="L22" t="s">
        <v>169</v>
      </c>
      <c r="M22" t="str">
        <f t="shared" si="3"/>
        <v>3016H3</v>
      </c>
      <c r="N22">
        <v>5</v>
      </c>
      <c r="O22">
        <v>19.5</v>
      </c>
      <c r="P22">
        <v>1777</v>
      </c>
    </row>
    <row r="23" spans="1:16" x14ac:dyDescent="0.25">
      <c r="J23">
        <v>30</v>
      </c>
      <c r="K23">
        <v>24</v>
      </c>
      <c r="L23" t="s">
        <v>167</v>
      </c>
      <c r="M23" t="str">
        <f t="shared" si="3"/>
        <v>3024H1</v>
      </c>
      <c r="N23">
        <v>5</v>
      </c>
      <c r="O23">
        <v>14.4</v>
      </c>
      <c r="P23">
        <v>1508</v>
      </c>
    </row>
    <row r="24" spans="1:16" x14ac:dyDescent="0.25">
      <c r="J24">
        <v>30</v>
      </c>
      <c r="K24">
        <v>24</v>
      </c>
      <c r="L24" t="s">
        <v>168</v>
      </c>
      <c r="M24" t="str">
        <f t="shared" si="3"/>
        <v>3024H2</v>
      </c>
      <c r="N24">
        <v>5</v>
      </c>
      <c r="O24">
        <v>17.2</v>
      </c>
      <c r="P24">
        <v>1709</v>
      </c>
    </row>
    <row r="25" spans="1:16" ht="17.25" x14ac:dyDescent="0.3">
      <c r="A25" s="55" t="s">
        <v>278</v>
      </c>
      <c r="J25">
        <v>30</v>
      </c>
      <c r="K25">
        <v>24</v>
      </c>
      <c r="L25" t="s">
        <v>169</v>
      </c>
      <c r="M25" t="str">
        <f t="shared" si="3"/>
        <v>3024H3</v>
      </c>
      <c r="N25">
        <v>6</v>
      </c>
      <c r="O25">
        <v>22.6</v>
      </c>
      <c r="P25">
        <v>2119</v>
      </c>
    </row>
    <row r="26" spans="1:16" ht="15.75" x14ac:dyDescent="0.25">
      <c r="A26" s="56" t="s">
        <v>283</v>
      </c>
      <c r="J26">
        <v>30</v>
      </c>
      <c r="K26">
        <v>32</v>
      </c>
      <c r="L26" t="s">
        <v>167</v>
      </c>
      <c r="M26" t="str">
        <f t="shared" si="3"/>
        <v>3032H1</v>
      </c>
      <c r="N26">
        <v>6</v>
      </c>
      <c r="O26">
        <v>17.399999999999999</v>
      </c>
      <c r="P26">
        <v>1850</v>
      </c>
    </row>
    <row r="27" spans="1:16" x14ac:dyDescent="0.25">
      <c r="A27" s="54" t="str">
        <f>VLOOKUP(B5,S2:T5,2,FALSE)</f>
        <v>BSE-002 Pile end Bent 15° Skew</v>
      </c>
      <c r="J27">
        <v>30</v>
      </c>
      <c r="K27">
        <v>32</v>
      </c>
      <c r="L27" t="s">
        <v>168</v>
      </c>
      <c r="M27" t="str">
        <f t="shared" si="3"/>
        <v>3032H2</v>
      </c>
      <c r="N27">
        <v>6</v>
      </c>
      <c r="O27">
        <v>20.3</v>
      </c>
      <c r="P27">
        <v>2051</v>
      </c>
    </row>
    <row r="28" spans="1:16" x14ac:dyDescent="0.25">
      <c r="A28" s="54" t="str">
        <f>VLOOKUP(B12,S8:T9,2,FALSE)</f>
        <v>BPS-003 HP12x53 Steel Pile</v>
      </c>
      <c r="J28">
        <v>30</v>
      </c>
      <c r="K28">
        <v>32</v>
      </c>
      <c r="L28" t="s">
        <v>169</v>
      </c>
      <c r="M28" t="str">
        <f t="shared" si="3"/>
        <v>3032H3</v>
      </c>
      <c r="N28">
        <v>7</v>
      </c>
      <c r="O28">
        <v>25.6</v>
      </c>
      <c r="P28">
        <v>2460</v>
      </c>
    </row>
    <row r="29" spans="1:16" x14ac:dyDescent="0.25">
      <c r="A29" s="54"/>
      <c r="J29">
        <v>45</v>
      </c>
      <c r="K29">
        <v>16</v>
      </c>
      <c r="L29" t="s">
        <v>167</v>
      </c>
      <c r="M29" t="str">
        <f>CONCATENATE(J29,K29,L29)</f>
        <v>4516H1</v>
      </c>
      <c r="N29">
        <v>5</v>
      </c>
      <c r="O29">
        <v>13.9</v>
      </c>
      <c r="P29">
        <v>1410</v>
      </c>
    </row>
    <row r="30" spans="1:16" x14ac:dyDescent="0.25">
      <c r="A30" s="54"/>
      <c r="J30">
        <v>45</v>
      </c>
      <c r="K30">
        <v>16</v>
      </c>
      <c r="L30" t="s">
        <v>168</v>
      </c>
      <c r="M30" t="str">
        <f t="shared" ref="M30:M37" si="4">CONCATENATE(J30,K30,L30)</f>
        <v>4516H2</v>
      </c>
      <c r="N30">
        <v>5</v>
      </c>
      <c r="O30">
        <v>17.2</v>
      </c>
      <c r="P30">
        <v>1655</v>
      </c>
    </row>
    <row r="31" spans="1:16" x14ac:dyDescent="0.25">
      <c r="A31" s="54"/>
      <c r="J31">
        <v>45</v>
      </c>
      <c r="K31">
        <v>16</v>
      </c>
      <c r="L31" t="s">
        <v>169</v>
      </c>
      <c r="M31" t="str">
        <f t="shared" si="4"/>
        <v>4516H3</v>
      </c>
      <c r="N31">
        <v>6</v>
      </c>
      <c r="O31">
        <v>23.9</v>
      </c>
      <c r="P31">
        <v>2167</v>
      </c>
    </row>
    <row r="32" spans="1:16" x14ac:dyDescent="0.25">
      <c r="A32" s="54"/>
      <c r="J32">
        <v>45</v>
      </c>
      <c r="K32">
        <v>24</v>
      </c>
      <c r="L32" t="s">
        <v>167</v>
      </c>
      <c r="M32" t="str">
        <f t="shared" si="4"/>
        <v>4524H1</v>
      </c>
      <c r="N32">
        <v>6</v>
      </c>
      <c r="O32">
        <v>17.7</v>
      </c>
      <c r="P32">
        <v>1877</v>
      </c>
    </row>
    <row r="33" spans="1:16" x14ac:dyDescent="0.25">
      <c r="A33" s="54"/>
      <c r="J33">
        <v>45</v>
      </c>
      <c r="K33">
        <v>24</v>
      </c>
      <c r="L33" t="s">
        <v>168</v>
      </c>
      <c r="M33" t="str">
        <f t="shared" si="4"/>
        <v>4524H2</v>
      </c>
      <c r="N33">
        <v>6</v>
      </c>
      <c r="O33">
        <v>21</v>
      </c>
      <c r="P33">
        <v>2076</v>
      </c>
    </row>
    <row r="34" spans="1:16" x14ac:dyDescent="0.25">
      <c r="A34" s="54"/>
      <c r="J34">
        <v>45</v>
      </c>
      <c r="K34">
        <v>24</v>
      </c>
      <c r="L34" t="s">
        <v>169</v>
      </c>
      <c r="M34" t="str">
        <f t="shared" si="4"/>
        <v>4524H3</v>
      </c>
      <c r="N34">
        <v>7</v>
      </c>
      <c r="O34">
        <v>27.6</v>
      </c>
      <c r="P34">
        <v>2588</v>
      </c>
    </row>
    <row r="35" spans="1:16" x14ac:dyDescent="0.25">
      <c r="J35">
        <v>45</v>
      </c>
      <c r="K35">
        <v>32</v>
      </c>
      <c r="L35" t="s">
        <v>167</v>
      </c>
      <c r="M35" t="str">
        <f t="shared" si="4"/>
        <v>4532H1</v>
      </c>
      <c r="N35">
        <v>7</v>
      </c>
      <c r="O35">
        <v>21.4</v>
      </c>
      <c r="P35">
        <v>2277</v>
      </c>
    </row>
    <row r="36" spans="1:16" x14ac:dyDescent="0.25">
      <c r="J36">
        <v>45</v>
      </c>
      <c r="K36">
        <v>32</v>
      </c>
      <c r="L36" t="s">
        <v>168</v>
      </c>
      <c r="M36" t="str">
        <f t="shared" si="4"/>
        <v>4532H2</v>
      </c>
      <c r="N36">
        <v>8</v>
      </c>
      <c r="O36">
        <v>24.7</v>
      </c>
      <c r="P36">
        <v>2557</v>
      </c>
    </row>
    <row r="37" spans="1:16" x14ac:dyDescent="0.25">
      <c r="J37">
        <v>45</v>
      </c>
      <c r="K37">
        <v>32</v>
      </c>
      <c r="L37" t="s">
        <v>169</v>
      </c>
      <c r="M37" t="str">
        <f t="shared" si="4"/>
        <v>4532H3</v>
      </c>
      <c r="N37">
        <v>9</v>
      </c>
      <c r="O37">
        <v>31.4</v>
      </c>
      <c r="P37">
        <v>3190</v>
      </c>
    </row>
  </sheetData>
  <mergeCells count="10">
    <mergeCell ref="C10:F10"/>
    <mergeCell ref="C6:F6"/>
    <mergeCell ref="C9:F9"/>
    <mergeCell ref="C8:F8"/>
    <mergeCell ref="C1:F1"/>
    <mergeCell ref="C2:F2"/>
    <mergeCell ref="C3:F3"/>
    <mergeCell ref="C4:F4"/>
    <mergeCell ref="C5:F5"/>
    <mergeCell ref="C7:F7"/>
  </mergeCells>
  <dataValidations count="2">
    <dataValidation type="list" allowBlank="1" showInputMessage="1" showErrorMessage="1" sqref="B5" xr:uid="{62A7AF9C-B828-49DF-96AF-AD421B14A5D1}">
      <formula1>$S$2:$S$9</formula1>
    </dataValidation>
    <dataValidation type="list" allowBlank="1" showInputMessage="1" showErrorMessage="1" sqref="B12" xr:uid="{234A6E8D-4495-44E9-9BE7-082A82B83E75}">
      <formula1>$S$8:$S$9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02DF-4448-439B-AAA1-8C1BFD2373B0}">
  <dimension ref="A1:U37"/>
  <sheetViews>
    <sheetView workbookViewId="0"/>
  </sheetViews>
  <sheetFormatPr defaultRowHeight="15" x14ac:dyDescent="0.25"/>
  <cols>
    <col min="1" max="1" width="56.140625" bestFit="1" customWidth="1"/>
    <col min="2" max="2" width="17" bestFit="1" customWidth="1"/>
    <col min="3" max="3" width="8" bestFit="1" customWidth="1"/>
    <col min="4" max="4" width="12" bestFit="1" customWidth="1"/>
    <col min="5" max="5" width="12.5703125" bestFit="1" customWidth="1"/>
    <col min="6" max="7" width="12" bestFit="1" customWidth="1"/>
    <col min="10" max="13" width="0" hidden="1" customWidth="1"/>
    <col min="14" max="14" width="9.140625" hidden="1" customWidth="1"/>
    <col min="15" max="15" width="12.5703125" hidden="1" customWidth="1"/>
    <col min="16" max="21" width="9.140625" hidden="1" customWidth="1"/>
    <col min="22" max="22" width="0" hidden="1" customWidth="1"/>
  </cols>
  <sheetData>
    <row r="1" spans="1:20" ht="17.25" x14ac:dyDescent="0.3">
      <c r="A1" s="33" t="s">
        <v>43</v>
      </c>
      <c r="B1" s="34"/>
      <c r="C1" s="200" t="s">
        <v>63</v>
      </c>
      <c r="D1" s="200"/>
      <c r="E1" s="200"/>
      <c r="F1" s="200"/>
      <c r="J1" t="s">
        <v>148</v>
      </c>
      <c r="K1" t="s">
        <v>165</v>
      </c>
      <c r="L1" t="s">
        <v>112</v>
      </c>
      <c r="M1" t="s">
        <v>172</v>
      </c>
      <c r="N1" t="s">
        <v>166</v>
      </c>
      <c r="O1" t="s">
        <v>32</v>
      </c>
      <c r="P1" t="s">
        <v>158</v>
      </c>
      <c r="S1" t="s">
        <v>148</v>
      </c>
    </row>
    <row r="2" spans="1:20" x14ac:dyDescent="0.25">
      <c r="A2" s="4" t="s">
        <v>90</v>
      </c>
      <c r="B2" s="4">
        <f>BridgeInformation!C18</f>
        <v>31</v>
      </c>
      <c r="C2" s="178" t="s">
        <v>102</v>
      </c>
      <c r="D2" s="178"/>
      <c r="E2" s="178"/>
      <c r="F2" s="178"/>
      <c r="J2">
        <v>0</v>
      </c>
      <c r="K2">
        <v>16</v>
      </c>
      <c r="L2" t="s">
        <v>167</v>
      </c>
      <c r="M2" t="str">
        <f>CONCATENATE(J2,K2,L2)</f>
        <v>016H1</v>
      </c>
      <c r="N2">
        <v>3</v>
      </c>
      <c r="O2">
        <v>9.8000000000000007</v>
      </c>
      <c r="P2">
        <v>991</v>
      </c>
      <c r="S2">
        <v>0</v>
      </c>
      <c r="T2" s="54" t="s">
        <v>311</v>
      </c>
    </row>
    <row r="3" spans="1:20" x14ac:dyDescent="0.25">
      <c r="A3" s="4" t="s">
        <v>91</v>
      </c>
      <c r="B3" s="4">
        <f>BridgeInformation!C16</f>
        <v>24</v>
      </c>
      <c r="C3" s="185"/>
      <c r="D3" s="185"/>
      <c r="E3" s="185"/>
      <c r="F3" s="185"/>
      <c r="J3">
        <v>0</v>
      </c>
      <c r="K3">
        <v>16</v>
      </c>
      <c r="L3" t="s">
        <v>168</v>
      </c>
      <c r="M3" t="str">
        <f t="shared" ref="M3:M10" si="0">CONCATENATE(J3,K3,L3)</f>
        <v>016H2</v>
      </c>
      <c r="N3">
        <v>4</v>
      </c>
      <c r="O3">
        <v>12.2</v>
      </c>
      <c r="P3">
        <v>1175</v>
      </c>
      <c r="S3">
        <v>15</v>
      </c>
      <c r="T3" s="54" t="s">
        <v>312</v>
      </c>
    </row>
    <row r="4" spans="1:20" x14ac:dyDescent="0.25">
      <c r="A4" s="4" t="s">
        <v>92</v>
      </c>
      <c r="B4" s="12">
        <f>BridgeInformation!C15</f>
        <v>32</v>
      </c>
      <c r="C4" s="185"/>
      <c r="D4" s="185"/>
      <c r="E4" s="185"/>
      <c r="F4" s="185"/>
      <c r="J4">
        <v>0</v>
      </c>
      <c r="K4">
        <v>16</v>
      </c>
      <c r="L4" t="s">
        <v>169</v>
      </c>
      <c r="M4" t="str">
        <f t="shared" si="0"/>
        <v>016H3</v>
      </c>
      <c r="N4">
        <v>4</v>
      </c>
      <c r="O4">
        <v>16.8</v>
      </c>
      <c r="P4">
        <v>1527</v>
      </c>
      <c r="S4">
        <v>30</v>
      </c>
      <c r="T4" s="54" t="s">
        <v>313</v>
      </c>
    </row>
    <row r="5" spans="1:20" x14ac:dyDescent="0.25">
      <c r="A5" s="4" t="s">
        <v>156</v>
      </c>
      <c r="B5" s="4">
        <f>ROUND(BridgeInformation!C19/15,0)*15</f>
        <v>15</v>
      </c>
      <c r="C5" s="185"/>
      <c r="D5" s="185"/>
      <c r="E5" s="185"/>
      <c r="F5" s="185"/>
      <c r="J5">
        <v>0</v>
      </c>
      <c r="K5">
        <v>24</v>
      </c>
      <c r="L5" t="s">
        <v>167</v>
      </c>
      <c r="M5" t="str">
        <f t="shared" si="0"/>
        <v>024H1</v>
      </c>
      <c r="N5">
        <v>4</v>
      </c>
      <c r="O5">
        <v>12.4</v>
      </c>
      <c r="P5">
        <v>1297</v>
      </c>
      <c r="S5">
        <v>45</v>
      </c>
      <c r="T5" s="54" t="s">
        <v>314</v>
      </c>
    </row>
    <row r="6" spans="1:20" x14ac:dyDescent="0.25">
      <c r="A6" s="4" t="s">
        <v>160</v>
      </c>
      <c r="B6" s="12">
        <f>BridgeInformation!H10</f>
        <v>12</v>
      </c>
      <c r="C6" s="185"/>
      <c r="D6" s="185"/>
      <c r="E6" s="185"/>
      <c r="F6" s="185"/>
      <c r="J6">
        <v>0</v>
      </c>
      <c r="K6">
        <v>24</v>
      </c>
      <c r="L6" t="s">
        <v>168</v>
      </c>
      <c r="M6" t="str">
        <f t="shared" si="0"/>
        <v>024H2</v>
      </c>
      <c r="N6">
        <v>5</v>
      </c>
      <c r="O6">
        <v>14.8</v>
      </c>
      <c r="P6">
        <v>1469</v>
      </c>
    </row>
    <row r="7" spans="1:20" x14ac:dyDescent="0.25">
      <c r="A7" s="4" t="s">
        <v>24</v>
      </c>
      <c r="B7" s="12">
        <f>BridgeInformation!H11</f>
        <v>5</v>
      </c>
      <c r="C7" s="22"/>
      <c r="D7" s="22"/>
      <c r="E7" s="22"/>
      <c r="F7" s="22"/>
      <c r="J7">
        <v>0</v>
      </c>
      <c r="K7">
        <v>24</v>
      </c>
      <c r="L7" t="s">
        <v>169</v>
      </c>
      <c r="M7" t="str">
        <f t="shared" si="0"/>
        <v>024H3</v>
      </c>
      <c r="N7">
        <v>5</v>
      </c>
      <c r="O7">
        <v>19.399999999999999</v>
      </c>
      <c r="P7">
        <v>1833</v>
      </c>
      <c r="S7" t="s">
        <v>316</v>
      </c>
    </row>
    <row r="8" spans="1:20" x14ac:dyDescent="0.25">
      <c r="A8" s="4" t="s">
        <v>161</v>
      </c>
      <c r="B8" s="36" t="str">
        <f>IF(SUM(B6:B7)&lt;27,"H1",IF(SUM(B6:B7)&lt;35,"H2",IF(SUM(B6:B7)&lt;50,"H3","Error")))</f>
        <v>H1</v>
      </c>
      <c r="C8" s="178" t="s">
        <v>164</v>
      </c>
      <c r="D8" s="178"/>
      <c r="E8" s="178"/>
      <c r="F8" s="178"/>
      <c r="J8">
        <v>0</v>
      </c>
      <c r="K8">
        <v>32</v>
      </c>
      <c r="L8" t="s">
        <v>167</v>
      </c>
      <c r="M8" t="str">
        <f t="shared" si="0"/>
        <v>032H1</v>
      </c>
      <c r="N8">
        <v>5</v>
      </c>
      <c r="O8">
        <v>15.1</v>
      </c>
      <c r="P8">
        <v>1604</v>
      </c>
      <c r="S8" t="s">
        <v>317</v>
      </c>
      <c r="T8" s="54" t="s">
        <v>318</v>
      </c>
    </row>
    <row r="9" spans="1:20" x14ac:dyDescent="0.25">
      <c r="A9" s="4" t="s">
        <v>162</v>
      </c>
      <c r="B9" s="16">
        <f>IF(B3&gt;32,"Error",IF(B3&gt;24,32,IF(B3&gt;16,24,16)))</f>
        <v>24</v>
      </c>
      <c r="C9" s="178" t="s">
        <v>163</v>
      </c>
      <c r="D9" s="178"/>
      <c r="E9" s="178"/>
      <c r="F9" s="178"/>
      <c r="J9">
        <v>0</v>
      </c>
      <c r="K9">
        <v>32</v>
      </c>
      <c r="L9" t="s">
        <v>168</v>
      </c>
      <c r="M9" t="str">
        <f t="shared" si="0"/>
        <v>032H2</v>
      </c>
      <c r="N9">
        <v>6</v>
      </c>
      <c r="O9">
        <v>17.5</v>
      </c>
      <c r="P9">
        <v>1787</v>
      </c>
      <c r="S9" t="s">
        <v>320</v>
      </c>
      <c r="T9" s="54" t="s">
        <v>319</v>
      </c>
    </row>
    <row r="10" spans="1:20" hidden="1" x14ac:dyDescent="0.25">
      <c r="A10" s="4" t="s">
        <v>173</v>
      </c>
      <c r="B10" s="37" t="str">
        <f>CONCATENATE(B5,B9,B8)</f>
        <v>1524H1</v>
      </c>
      <c r="C10" s="178" t="s">
        <v>171</v>
      </c>
      <c r="D10" s="178"/>
      <c r="E10" s="178"/>
      <c r="F10" s="178"/>
      <c r="J10">
        <v>0</v>
      </c>
      <c r="K10">
        <v>32</v>
      </c>
      <c r="L10" t="s">
        <v>169</v>
      </c>
      <c r="M10" t="str">
        <f t="shared" si="0"/>
        <v>032H3</v>
      </c>
      <c r="N10">
        <v>6</v>
      </c>
      <c r="O10">
        <v>22.1</v>
      </c>
      <c r="P10">
        <v>2139</v>
      </c>
    </row>
    <row r="11" spans="1:20" x14ac:dyDescent="0.25">
      <c r="A11" s="4" t="s">
        <v>170</v>
      </c>
      <c r="B11" s="4">
        <f>BridgeInformation!C23</f>
        <v>10</v>
      </c>
      <c r="J11">
        <v>15</v>
      </c>
      <c r="K11">
        <v>16</v>
      </c>
      <c r="L11" t="s">
        <v>167</v>
      </c>
      <c r="M11" t="str">
        <f>CONCATENATE(J11,K11,L11)</f>
        <v>1516H1</v>
      </c>
      <c r="N11">
        <v>3</v>
      </c>
      <c r="O11">
        <v>10.199999999999999</v>
      </c>
      <c r="P11">
        <v>1024</v>
      </c>
    </row>
    <row r="12" spans="1:20" x14ac:dyDescent="0.25">
      <c r="A12" s="4" t="s">
        <v>315</v>
      </c>
      <c r="B12" s="130" t="s">
        <v>317</v>
      </c>
      <c r="J12">
        <v>15</v>
      </c>
      <c r="K12">
        <v>16</v>
      </c>
      <c r="L12" t="s">
        <v>168</v>
      </c>
      <c r="M12" t="str">
        <f t="shared" ref="M12:M19" si="1">CONCATENATE(J12,K12,L12)</f>
        <v>1516H2</v>
      </c>
      <c r="N12">
        <v>4</v>
      </c>
      <c r="O12">
        <v>12.6</v>
      </c>
      <c r="P12">
        <v>1203</v>
      </c>
    </row>
    <row r="13" spans="1:20" x14ac:dyDescent="0.25">
      <c r="J13">
        <v>15</v>
      </c>
      <c r="K13">
        <v>16</v>
      </c>
      <c r="L13" t="s">
        <v>169</v>
      </c>
      <c r="M13" t="str">
        <f t="shared" si="1"/>
        <v>1516H3</v>
      </c>
      <c r="N13">
        <v>4</v>
      </c>
      <c r="O13">
        <v>17.5</v>
      </c>
      <c r="P13">
        <v>1578</v>
      </c>
    </row>
    <row r="14" spans="1:20" x14ac:dyDescent="0.25">
      <c r="J14">
        <v>15</v>
      </c>
      <c r="K14">
        <v>24</v>
      </c>
      <c r="L14" t="s">
        <v>167</v>
      </c>
      <c r="M14" t="str">
        <f t="shared" si="1"/>
        <v>1524H1</v>
      </c>
      <c r="N14">
        <v>4</v>
      </c>
      <c r="O14">
        <v>12.9</v>
      </c>
      <c r="P14">
        <v>1340</v>
      </c>
    </row>
    <row r="15" spans="1:20" ht="15.75" x14ac:dyDescent="0.25">
      <c r="A15" s="7" t="s">
        <v>33</v>
      </c>
      <c r="B15" s="7" t="s">
        <v>31</v>
      </c>
      <c r="C15" s="7" t="s">
        <v>29</v>
      </c>
      <c r="D15" s="7" t="s">
        <v>34</v>
      </c>
      <c r="E15" s="7" t="s">
        <v>35</v>
      </c>
      <c r="J15">
        <v>15</v>
      </c>
      <c r="K15">
        <v>24</v>
      </c>
      <c r="L15" t="s">
        <v>168</v>
      </c>
      <c r="M15" t="str">
        <f t="shared" si="1"/>
        <v>1524H2</v>
      </c>
      <c r="N15">
        <v>5</v>
      </c>
      <c r="O15">
        <v>15.4</v>
      </c>
      <c r="P15">
        <v>1553</v>
      </c>
    </row>
    <row r="16" spans="1:20" x14ac:dyDescent="0.25">
      <c r="A16" s="4" t="s">
        <v>362</v>
      </c>
      <c r="B16" s="4">
        <f>VLOOKUP(B10,M2:P37,3,FALSE)</f>
        <v>12.9</v>
      </c>
      <c r="C16" s="4" t="s">
        <v>32</v>
      </c>
      <c r="D16" s="8">
        <v>1300</v>
      </c>
      <c r="E16" s="10">
        <f>D16*B16</f>
        <v>16770</v>
      </c>
      <c r="J16">
        <v>15</v>
      </c>
      <c r="K16">
        <v>24</v>
      </c>
      <c r="L16" t="s">
        <v>169</v>
      </c>
      <c r="M16" t="str">
        <f t="shared" si="1"/>
        <v>1524H3</v>
      </c>
      <c r="N16">
        <v>5</v>
      </c>
      <c r="O16">
        <v>20.2</v>
      </c>
      <c r="P16">
        <v>1887</v>
      </c>
    </row>
    <row r="17" spans="1:16" x14ac:dyDescent="0.25">
      <c r="A17" s="4" t="s">
        <v>36</v>
      </c>
      <c r="B17" s="9">
        <f>VLOOKUP(B10,M2:P37,4,FALSE)</f>
        <v>1340</v>
      </c>
      <c r="C17" s="4" t="s">
        <v>37</v>
      </c>
      <c r="D17" s="8">
        <v>2.1</v>
      </c>
      <c r="E17" s="10">
        <f>D17*B17</f>
        <v>2814</v>
      </c>
      <c r="J17">
        <v>15</v>
      </c>
      <c r="K17">
        <v>32</v>
      </c>
      <c r="L17" t="s">
        <v>167</v>
      </c>
      <c r="M17" t="str">
        <f t="shared" si="1"/>
        <v>1532H1</v>
      </c>
      <c r="N17">
        <v>6</v>
      </c>
      <c r="O17">
        <v>15.7</v>
      </c>
      <c r="P17">
        <v>1653</v>
      </c>
    </row>
    <row r="18" spans="1:16" x14ac:dyDescent="0.25">
      <c r="A18" s="4" t="str">
        <f>CONCATENATE("HP12x53 Piling  (",VLOOKUP(B10,M2:P37,2,FALSE)," x ",B11," ft)")</f>
        <v>HP12x53 Piling  (4 x 10 ft)</v>
      </c>
      <c r="B18" s="19">
        <f>B11*VLOOKUP(B10,M2:P37,2,FALSE)</f>
        <v>40</v>
      </c>
      <c r="C18" s="4" t="s">
        <v>40</v>
      </c>
      <c r="D18" s="8">
        <v>88.94</v>
      </c>
      <c r="E18" s="10">
        <f t="shared" ref="E18:E21" si="2">D18*B18</f>
        <v>3557.6</v>
      </c>
      <c r="F18" s="45"/>
      <c r="J18">
        <v>15</v>
      </c>
      <c r="K18">
        <v>32</v>
      </c>
      <c r="L18" t="s">
        <v>168</v>
      </c>
      <c r="M18" t="str">
        <f t="shared" si="1"/>
        <v>1532H2</v>
      </c>
      <c r="N18">
        <v>6</v>
      </c>
      <c r="O18">
        <v>18.2</v>
      </c>
      <c r="P18">
        <v>1866</v>
      </c>
    </row>
    <row r="19" spans="1:16" x14ac:dyDescent="0.25">
      <c r="A19" s="38" t="s">
        <v>77</v>
      </c>
      <c r="B19" s="39"/>
      <c r="C19" s="38" t="s">
        <v>40</v>
      </c>
      <c r="D19" s="40">
        <v>88.94</v>
      </c>
      <c r="E19" s="41">
        <f t="shared" si="2"/>
        <v>0</v>
      </c>
      <c r="J19">
        <v>15</v>
      </c>
      <c r="K19">
        <v>32</v>
      </c>
      <c r="L19" t="s">
        <v>169</v>
      </c>
      <c r="M19" t="str">
        <f t="shared" si="1"/>
        <v>1532H3</v>
      </c>
      <c r="N19">
        <v>7</v>
      </c>
      <c r="O19">
        <v>23</v>
      </c>
      <c r="P19">
        <v>2219</v>
      </c>
    </row>
    <row r="20" spans="1:16" x14ac:dyDescent="0.25">
      <c r="A20" s="4" t="s">
        <v>42</v>
      </c>
      <c r="B20" s="4">
        <v>1</v>
      </c>
      <c r="C20" s="28" t="s">
        <v>47</v>
      </c>
      <c r="D20" s="8">
        <v>15000</v>
      </c>
      <c r="E20" s="10">
        <f>D20*B20</f>
        <v>15000</v>
      </c>
      <c r="J20">
        <v>30</v>
      </c>
      <c r="K20">
        <v>16</v>
      </c>
      <c r="L20" t="s">
        <v>167</v>
      </c>
      <c r="M20" t="str">
        <f>CONCATENATE(J20,K20,L20)</f>
        <v>3016H1</v>
      </c>
      <c r="N20">
        <v>4</v>
      </c>
      <c r="O20">
        <v>11.3</v>
      </c>
      <c r="P20">
        <v>1132</v>
      </c>
    </row>
    <row r="21" spans="1:16" x14ac:dyDescent="0.25">
      <c r="A21" s="4" t="s">
        <v>87</v>
      </c>
      <c r="B21" s="4"/>
      <c r="C21" s="4" t="s">
        <v>76</v>
      </c>
      <c r="D21" s="8">
        <v>54.77</v>
      </c>
      <c r="E21" s="10">
        <f t="shared" si="2"/>
        <v>0</v>
      </c>
      <c r="J21">
        <v>30</v>
      </c>
      <c r="K21">
        <v>16</v>
      </c>
      <c r="L21" t="s">
        <v>168</v>
      </c>
      <c r="M21" t="str">
        <f t="shared" ref="M21:M28" si="3">CONCATENATE(J21,K21,L21)</f>
        <v>3016H2</v>
      </c>
      <c r="N21">
        <v>4</v>
      </c>
      <c r="O21">
        <v>14.1</v>
      </c>
      <c r="P21">
        <v>1345</v>
      </c>
    </row>
    <row r="22" spans="1:16" x14ac:dyDescent="0.25">
      <c r="A22" s="5" t="s">
        <v>48</v>
      </c>
      <c r="B22" s="112" t="s">
        <v>435</v>
      </c>
      <c r="C22" s="112" t="s">
        <v>435</v>
      </c>
      <c r="D22" s="112" t="s">
        <v>435</v>
      </c>
      <c r="E22" s="11">
        <f>SUM(E16:E21)</f>
        <v>38141.599999999999</v>
      </c>
      <c r="J22">
        <v>30</v>
      </c>
      <c r="K22">
        <v>16</v>
      </c>
      <c r="L22" t="s">
        <v>169</v>
      </c>
      <c r="M22" t="str">
        <f t="shared" si="3"/>
        <v>3016H3</v>
      </c>
      <c r="N22">
        <v>5</v>
      </c>
      <c r="O22">
        <v>19.5</v>
      </c>
      <c r="P22">
        <v>1777</v>
      </c>
    </row>
    <row r="23" spans="1:16" x14ac:dyDescent="0.25">
      <c r="J23">
        <v>30</v>
      </c>
      <c r="K23">
        <v>24</v>
      </c>
      <c r="L23" t="s">
        <v>167</v>
      </c>
      <c r="M23" t="str">
        <f t="shared" si="3"/>
        <v>3024H1</v>
      </c>
      <c r="N23">
        <v>5</v>
      </c>
      <c r="O23">
        <v>14.4</v>
      </c>
      <c r="P23">
        <v>1508</v>
      </c>
    </row>
    <row r="24" spans="1:16" x14ac:dyDescent="0.25">
      <c r="J24">
        <v>30</v>
      </c>
      <c r="K24">
        <v>24</v>
      </c>
      <c r="L24" t="s">
        <v>168</v>
      </c>
      <c r="M24" t="str">
        <f t="shared" si="3"/>
        <v>3024H2</v>
      </c>
      <c r="N24">
        <v>5</v>
      </c>
      <c r="O24">
        <v>17.2</v>
      </c>
      <c r="P24">
        <v>1709</v>
      </c>
    </row>
    <row r="25" spans="1:16" ht="17.25" x14ac:dyDescent="0.3">
      <c r="A25" s="55" t="s">
        <v>278</v>
      </c>
      <c r="J25">
        <v>30</v>
      </c>
      <c r="K25">
        <v>24</v>
      </c>
      <c r="L25" t="s">
        <v>169</v>
      </c>
      <c r="M25" t="str">
        <f t="shared" si="3"/>
        <v>3024H3</v>
      </c>
      <c r="N25">
        <v>6</v>
      </c>
      <c r="O25">
        <v>22.6</v>
      </c>
      <c r="P25">
        <v>2119</v>
      </c>
    </row>
    <row r="26" spans="1:16" ht="15.75" x14ac:dyDescent="0.25">
      <c r="A26" s="56" t="s">
        <v>283</v>
      </c>
      <c r="J26">
        <v>30</v>
      </c>
      <c r="K26">
        <v>32</v>
      </c>
      <c r="L26" t="s">
        <v>167</v>
      </c>
      <c r="M26" t="str">
        <f t="shared" si="3"/>
        <v>3032H1</v>
      </c>
      <c r="N26">
        <v>6</v>
      </c>
      <c r="O26">
        <v>17.399999999999999</v>
      </c>
      <c r="P26">
        <v>1850</v>
      </c>
    </row>
    <row r="27" spans="1:16" x14ac:dyDescent="0.25">
      <c r="A27" s="54" t="str">
        <f>VLOOKUP(B5,S2:T5,2,FALSE)</f>
        <v>BSE-002 Pile end Bent 15° Skew</v>
      </c>
      <c r="J27">
        <v>30</v>
      </c>
      <c r="K27">
        <v>32</v>
      </c>
      <c r="L27" t="s">
        <v>168</v>
      </c>
      <c r="M27" t="str">
        <f t="shared" si="3"/>
        <v>3032H2</v>
      </c>
      <c r="N27">
        <v>6</v>
      </c>
      <c r="O27">
        <v>20.3</v>
      </c>
      <c r="P27">
        <v>2051</v>
      </c>
    </row>
    <row r="28" spans="1:16" x14ac:dyDescent="0.25">
      <c r="A28" s="54" t="str">
        <f>VLOOKUP(B12,S8:T9,2,FALSE)</f>
        <v>BPS-003 HP12x53 Steel Pile</v>
      </c>
      <c r="J28">
        <v>30</v>
      </c>
      <c r="K28">
        <v>32</v>
      </c>
      <c r="L28" t="s">
        <v>169</v>
      </c>
      <c r="M28" t="str">
        <f t="shared" si="3"/>
        <v>3032H3</v>
      </c>
      <c r="N28">
        <v>7</v>
      </c>
      <c r="O28">
        <v>25.6</v>
      </c>
      <c r="P28">
        <v>2460</v>
      </c>
    </row>
    <row r="29" spans="1:16" x14ac:dyDescent="0.25">
      <c r="A29" s="54"/>
      <c r="J29">
        <v>45</v>
      </c>
      <c r="K29">
        <v>16</v>
      </c>
      <c r="L29" t="s">
        <v>167</v>
      </c>
      <c r="M29" t="str">
        <f>CONCATENATE(J29,K29,L29)</f>
        <v>4516H1</v>
      </c>
      <c r="N29">
        <v>5</v>
      </c>
      <c r="O29">
        <v>13.9</v>
      </c>
      <c r="P29">
        <v>1410</v>
      </c>
    </row>
    <row r="30" spans="1:16" x14ac:dyDescent="0.25">
      <c r="A30" s="54"/>
      <c r="J30">
        <v>45</v>
      </c>
      <c r="K30">
        <v>16</v>
      </c>
      <c r="L30" t="s">
        <v>168</v>
      </c>
      <c r="M30" t="str">
        <f t="shared" ref="M30:M37" si="4">CONCATENATE(J30,K30,L30)</f>
        <v>4516H2</v>
      </c>
      <c r="N30">
        <v>5</v>
      </c>
      <c r="O30">
        <v>17.2</v>
      </c>
      <c r="P30">
        <v>1655</v>
      </c>
    </row>
    <row r="31" spans="1:16" x14ac:dyDescent="0.25">
      <c r="A31" s="54"/>
      <c r="J31">
        <v>45</v>
      </c>
      <c r="K31">
        <v>16</v>
      </c>
      <c r="L31" t="s">
        <v>169</v>
      </c>
      <c r="M31" t="str">
        <f t="shared" si="4"/>
        <v>4516H3</v>
      </c>
      <c r="N31">
        <v>6</v>
      </c>
      <c r="O31">
        <v>23.9</v>
      </c>
      <c r="P31">
        <v>2167</v>
      </c>
    </row>
    <row r="32" spans="1:16" x14ac:dyDescent="0.25">
      <c r="A32" s="54"/>
      <c r="J32">
        <v>45</v>
      </c>
      <c r="K32">
        <v>24</v>
      </c>
      <c r="L32" t="s">
        <v>167</v>
      </c>
      <c r="M32" t="str">
        <f t="shared" si="4"/>
        <v>4524H1</v>
      </c>
      <c r="N32">
        <v>6</v>
      </c>
      <c r="O32">
        <v>17.7</v>
      </c>
      <c r="P32">
        <v>1877</v>
      </c>
    </row>
    <row r="33" spans="1:16" x14ac:dyDescent="0.25">
      <c r="A33" s="54"/>
      <c r="J33">
        <v>45</v>
      </c>
      <c r="K33">
        <v>24</v>
      </c>
      <c r="L33" t="s">
        <v>168</v>
      </c>
      <c r="M33" t="str">
        <f t="shared" si="4"/>
        <v>4524H2</v>
      </c>
      <c r="N33">
        <v>6</v>
      </c>
      <c r="O33">
        <v>21</v>
      </c>
      <c r="P33">
        <v>2076</v>
      </c>
    </row>
    <row r="34" spans="1:16" x14ac:dyDescent="0.25">
      <c r="A34" s="54"/>
      <c r="J34">
        <v>45</v>
      </c>
      <c r="K34">
        <v>24</v>
      </c>
      <c r="L34" t="s">
        <v>169</v>
      </c>
      <c r="M34" t="str">
        <f t="shared" si="4"/>
        <v>4524H3</v>
      </c>
      <c r="N34">
        <v>7</v>
      </c>
      <c r="O34">
        <v>27.6</v>
      </c>
      <c r="P34">
        <v>2588</v>
      </c>
    </row>
    <row r="35" spans="1:16" x14ac:dyDescent="0.25">
      <c r="J35">
        <v>45</v>
      </c>
      <c r="K35">
        <v>32</v>
      </c>
      <c r="L35" t="s">
        <v>167</v>
      </c>
      <c r="M35" t="str">
        <f t="shared" si="4"/>
        <v>4532H1</v>
      </c>
      <c r="N35">
        <v>7</v>
      </c>
      <c r="O35">
        <v>21.4</v>
      </c>
      <c r="P35">
        <v>2277</v>
      </c>
    </row>
    <row r="36" spans="1:16" x14ac:dyDescent="0.25">
      <c r="J36">
        <v>45</v>
      </c>
      <c r="K36">
        <v>32</v>
      </c>
      <c r="L36" t="s">
        <v>168</v>
      </c>
      <c r="M36" t="str">
        <f t="shared" si="4"/>
        <v>4532H2</v>
      </c>
      <c r="N36">
        <v>8</v>
      </c>
      <c r="O36">
        <v>24.7</v>
      </c>
      <c r="P36">
        <v>2557</v>
      </c>
    </row>
    <row r="37" spans="1:16" x14ac:dyDescent="0.25">
      <c r="J37">
        <v>45</v>
      </c>
      <c r="K37">
        <v>32</v>
      </c>
      <c r="L37" t="s">
        <v>169</v>
      </c>
      <c r="M37" t="str">
        <f t="shared" si="4"/>
        <v>4532H3</v>
      </c>
      <c r="N37">
        <v>9</v>
      </c>
      <c r="O37">
        <v>31.4</v>
      </c>
      <c r="P37">
        <v>3190</v>
      </c>
    </row>
  </sheetData>
  <mergeCells count="9">
    <mergeCell ref="C8:F8"/>
    <mergeCell ref="C9:F9"/>
    <mergeCell ref="C10:F10"/>
    <mergeCell ref="C1:F1"/>
    <mergeCell ref="C2:F2"/>
    <mergeCell ref="C3:F3"/>
    <mergeCell ref="C4:F4"/>
    <mergeCell ref="C5:F5"/>
    <mergeCell ref="C6:F6"/>
  </mergeCells>
  <dataValidations count="2">
    <dataValidation type="list" allowBlank="1" showInputMessage="1" showErrorMessage="1" sqref="B12" xr:uid="{1C72E34B-5D2A-43B5-BFD8-EC512AE6D329}">
      <formula1>$S$8:$S$9</formula1>
    </dataValidation>
    <dataValidation type="list" allowBlank="1" showInputMessage="1" showErrorMessage="1" sqref="B5" xr:uid="{0C194939-1B76-42DF-A19A-5838DD5E2C1F}">
      <formula1>$S$2:$S$9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F5F3-3EB0-4302-B825-722DA266334A}">
  <sheetPr codeName="Sheet6"/>
  <dimension ref="A1:AH361"/>
  <sheetViews>
    <sheetView workbookViewId="0">
      <selection activeCell="B5" sqref="B5"/>
    </sheetView>
  </sheetViews>
  <sheetFormatPr defaultRowHeight="15" x14ac:dyDescent="0.25"/>
  <cols>
    <col min="1" max="1" width="46.28515625" bestFit="1" customWidth="1"/>
    <col min="2" max="2" width="12" bestFit="1" customWidth="1"/>
    <col min="3" max="3" width="8" bestFit="1" customWidth="1"/>
    <col min="4" max="4" width="12" bestFit="1" customWidth="1"/>
    <col min="5" max="5" width="12.5703125" bestFit="1" customWidth="1"/>
    <col min="6" max="6" width="12" bestFit="1" customWidth="1"/>
    <col min="7" max="12" width="12" customWidth="1"/>
    <col min="13" max="13" width="12" hidden="1" customWidth="1"/>
    <col min="14" max="20" width="0" hidden="1" customWidth="1"/>
    <col min="21" max="28" width="9.140625" hidden="1" customWidth="1"/>
    <col min="29" max="32" width="0" hidden="1" customWidth="1"/>
    <col min="33" max="33" width="13.42578125" hidden="1" customWidth="1"/>
    <col min="34" max="34" width="14.28515625" hidden="1" customWidth="1"/>
    <col min="35" max="40" width="0" hidden="1" customWidth="1"/>
  </cols>
  <sheetData>
    <row r="1" spans="1:33" ht="17.25" x14ac:dyDescent="0.3">
      <c r="A1" s="33" t="s">
        <v>159</v>
      </c>
      <c r="B1" s="34"/>
      <c r="C1" s="190" t="s">
        <v>63</v>
      </c>
      <c r="D1" s="191"/>
      <c r="E1" s="191"/>
      <c r="F1" s="192"/>
      <c r="G1" s="21"/>
      <c r="H1" s="21"/>
      <c r="I1" s="21"/>
      <c r="J1" s="21"/>
      <c r="K1" s="21"/>
      <c r="L1" s="21"/>
      <c r="M1" t="s">
        <v>113</v>
      </c>
      <c r="N1" t="s">
        <v>112</v>
      </c>
      <c r="O1" t="s">
        <v>152</v>
      </c>
      <c r="P1" t="s">
        <v>108</v>
      </c>
      <c r="Q1" t="s">
        <v>109</v>
      </c>
      <c r="R1" t="s">
        <v>110</v>
      </c>
      <c r="S1" t="s">
        <v>111</v>
      </c>
      <c r="T1" t="s">
        <v>144</v>
      </c>
      <c r="U1" t="s">
        <v>32</v>
      </c>
      <c r="V1" t="s">
        <v>84</v>
      </c>
      <c r="W1" t="s">
        <v>321</v>
      </c>
      <c r="AB1" t="s">
        <v>145</v>
      </c>
      <c r="AC1" t="s">
        <v>148</v>
      </c>
      <c r="AE1" t="s">
        <v>322</v>
      </c>
      <c r="AG1" t="s">
        <v>321</v>
      </c>
    </row>
    <row r="2" spans="1:33" x14ac:dyDescent="0.25">
      <c r="A2" s="4" t="s">
        <v>90</v>
      </c>
      <c r="B2" s="35">
        <f>BridgeInformation!C18</f>
        <v>31</v>
      </c>
      <c r="C2" s="194" t="s">
        <v>102</v>
      </c>
      <c r="D2" s="195"/>
      <c r="E2" s="195"/>
      <c r="F2" s="196"/>
      <c r="G2" s="26"/>
      <c r="H2" s="26"/>
      <c r="I2" s="26"/>
      <c r="J2" s="26"/>
      <c r="K2" s="26"/>
      <c r="L2" s="26"/>
      <c r="M2" t="s">
        <v>116</v>
      </c>
      <c r="N2">
        <v>5</v>
      </c>
      <c r="O2" t="str">
        <f>CONCATENATE(M2,"_",N2)</f>
        <v>00_50_5</v>
      </c>
      <c r="P2">
        <v>19.71</v>
      </c>
      <c r="Q2">
        <v>0.71</v>
      </c>
      <c r="R2">
        <v>1851</v>
      </c>
      <c r="S2">
        <v>52.8</v>
      </c>
      <c r="T2">
        <f>ROUND(1/COS(RADIANS(LEFT(M2,2)*1)),3)</f>
        <v>1</v>
      </c>
      <c r="U2">
        <f>P2+Q2*B$3*T2</f>
        <v>36.75</v>
      </c>
      <c r="V2">
        <f>R2+S2*B$3*T2</f>
        <v>3118.2</v>
      </c>
      <c r="W2" s="58" t="str">
        <f>CONCATENATE(LEFT(M2,2)*1,"° Skew Variable Width Abutment ",RIGHT(M2,2),"% Skewed Wings")</f>
        <v>0° Skew Variable Width Abutment 50% Skewed Wings</v>
      </c>
      <c r="AB2">
        <v>50</v>
      </c>
      <c r="AC2">
        <v>0</v>
      </c>
      <c r="AE2" t="s">
        <v>134</v>
      </c>
      <c r="AF2">
        <v>1</v>
      </c>
      <c r="AG2" t="str">
        <f>CONCATENATE("BSA-",RIGHT(CONCATENATE("000",AF2),3)," ",LEFT(AE2,2)*1,"° Skew Variable Width Abutment ",RIGHT(AE2,2),"% Skewed Wings")</f>
        <v>BSA-001 0° Skew Variable Width Abutment 00% Skewed Wings</v>
      </c>
    </row>
    <row r="3" spans="1:33" x14ac:dyDescent="0.25">
      <c r="A3" s="4" t="s">
        <v>91</v>
      </c>
      <c r="B3" s="4">
        <f>BridgeInformation!C16</f>
        <v>24</v>
      </c>
      <c r="C3" s="184"/>
      <c r="D3" s="185"/>
      <c r="E3" s="185"/>
      <c r="F3" s="186"/>
      <c r="G3" s="22"/>
      <c r="H3" s="22"/>
      <c r="I3" s="22"/>
      <c r="J3" s="22"/>
      <c r="K3" s="22"/>
      <c r="L3" s="22"/>
      <c r="M3" t="s">
        <v>116</v>
      </c>
      <c r="N3">
        <v>6</v>
      </c>
      <c r="O3" t="str">
        <f t="shared" ref="O3:O66" si="0">CONCATENATE(M3,"_",N3)</f>
        <v>00_50_6</v>
      </c>
      <c r="P3">
        <v>21.47</v>
      </c>
      <c r="Q3">
        <v>0.78</v>
      </c>
      <c r="R3">
        <v>1851</v>
      </c>
      <c r="S3">
        <v>52.8</v>
      </c>
      <c r="T3">
        <f t="shared" ref="T3:T66" si="1">ROUND(1/COS(RADIANS(LEFT(M3,2)*1)),3)</f>
        <v>1</v>
      </c>
      <c r="U3">
        <f t="shared" ref="U3:U66" si="2">P3+Q3*B$3*T3</f>
        <v>40.19</v>
      </c>
      <c r="V3">
        <f t="shared" ref="V3:V66" si="3">R3+S3*B$3*T3</f>
        <v>3118.2</v>
      </c>
      <c r="W3" s="58" t="str">
        <f t="shared" ref="W3:W66" si="4">CONCATENATE(LEFT(M3,2)*1,"° Skew Variable Width Abutment ",RIGHT(M3,2),"% Skewed Wings")</f>
        <v>0° Skew Variable Width Abutment 50% Skewed Wings</v>
      </c>
      <c r="AB3">
        <v>25</v>
      </c>
      <c r="AC3">
        <v>5</v>
      </c>
      <c r="AE3" t="s">
        <v>124</v>
      </c>
      <c r="AF3">
        <v>3</v>
      </c>
      <c r="AG3" t="str">
        <f t="shared" ref="AG3:AG31" si="5">CONCATENATE("BSA-",RIGHT(CONCATENATE("000",AF3),3)," ",LEFT(AE3,2)*1,"° Skew Variable Width Abutment ",RIGHT(AE3,2),"% Skewed Wings")</f>
        <v>BSA-003 0° Skew Variable Width Abutment 25% Skewed Wings</v>
      </c>
    </row>
    <row r="4" spans="1:33" x14ac:dyDescent="0.25">
      <c r="A4" s="4" t="s">
        <v>92</v>
      </c>
      <c r="B4" s="12">
        <f>BridgeInformation!C15</f>
        <v>32</v>
      </c>
      <c r="C4" s="184"/>
      <c r="D4" s="185"/>
      <c r="E4" s="185"/>
      <c r="F4" s="186"/>
      <c r="G4" s="22"/>
      <c r="H4" s="22"/>
      <c r="I4" s="22"/>
      <c r="J4" s="22"/>
      <c r="K4" s="22"/>
      <c r="L4" s="22"/>
      <c r="M4" t="s">
        <v>116</v>
      </c>
      <c r="N4">
        <v>7</v>
      </c>
      <c r="O4" t="str">
        <f t="shared" si="0"/>
        <v>00_50_7</v>
      </c>
      <c r="P4">
        <v>29.09</v>
      </c>
      <c r="Q4">
        <v>0.93</v>
      </c>
      <c r="R4">
        <v>2651</v>
      </c>
      <c r="S4">
        <v>68.7</v>
      </c>
      <c r="T4">
        <f t="shared" si="1"/>
        <v>1</v>
      </c>
      <c r="U4">
        <f t="shared" si="2"/>
        <v>51.41</v>
      </c>
      <c r="V4">
        <f t="shared" si="3"/>
        <v>4299.8</v>
      </c>
      <c r="W4" s="58" t="str">
        <f t="shared" si="4"/>
        <v>0° Skew Variable Width Abutment 50% Skewed Wings</v>
      </c>
      <c r="AB4" t="s">
        <v>146</v>
      </c>
      <c r="AC4">
        <v>10</v>
      </c>
      <c r="AE4" t="s">
        <v>116</v>
      </c>
      <c r="AF4">
        <v>5</v>
      </c>
      <c r="AG4" t="str">
        <f t="shared" si="5"/>
        <v>BSA-005 0° Skew Variable Width Abutment 50% Skewed Wings</v>
      </c>
    </row>
    <row r="5" spans="1:33" x14ac:dyDescent="0.25">
      <c r="A5" s="4" t="s">
        <v>156</v>
      </c>
      <c r="B5" s="4">
        <f>ROUND(BridgeInformation!C19/5,0)*5</f>
        <v>15</v>
      </c>
      <c r="C5" s="184"/>
      <c r="D5" s="185"/>
      <c r="E5" s="185"/>
      <c r="F5" s="186"/>
      <c r="G5" s="22"/>
      <c r="H5" s="22"/>
      <c r="I5" s="22"/>
      <c r="J5" s="22"/>
      <c r="K5" s="22"/>
      <c r="L5" s="22"/>
      <c r="M5" t="s">
        <v>116</v>
      </c>
      <c r="N5">
        <v>8</v>
      </c>
      <c r="O5" t="str">
        <f t="shared" si="0"/>
        <v>00_50_8</v>
      </c>
      <c r="P5">
        <v>21.15</v>
      </c>
      <c r="Q5">
        <v>1.01</v>
      </c>
      <c r="R5">
        <v>2651</v>
      </c>
      <c r="S5">
        <v>68.7</v>
      </c>
      <c r="T5">
        <f t="shared" si="1"/>
        <v>1</v>
      </c>
      <c r="U5">
        <f t="shared" si="2"/>
        <v>45.39</v>
      </c>
      <c r="V5">
        <f t="shared" si="3"/>
        <v>4299.8</v>
      </c>
      <c r="W5" s="58" t="str">
        <f t="shared" si="4"/>
        <v>0° Skew Variable Width Abutment 50% Skewed Wings</v>
      </c>
      <c r="AC5">
        <v>15</v>
      </c>
      <c r="AE5" t="s">
        <v>135</v>
      </c>
      <c r="AF5">
        <v>7</v>
      </c>
      <c r="AG5" t="str">
        <f t="shared" si="5"/>
        <v>BSA-007 5° Skew Variable Width Abutment 00% Skewed Wings</v>
      </c>
    </row>
    <row r="6" spans="1:33" x14ac:dyDescent="0.25">
      <c r="A6" s="4" t="s">
        <v>155</v>
      </c>
      <c r="B6" s="12">
        <f>BridgeInformation!F30</f>
        <v>50</v>
      </c>
      <c r="C6" s="184"/>
      <c r="D6" s="185"/>
      <c r="E6" s="185"/>
      <c r="F6" s="186"/>
      <c r="G6" s="22"/>
      <c r="H6" s="22"/>
      <c r="I6" s="22"/>
      <c r="J6" s="22"/>
      <c r="K6" s="22"/>
      <c r="L6" s="22"/>
      <c r="M6" t="s">
        <v>116</v>
      </c>
      <c r="N6">
        <v>9</v>
      </c>
      <c r="O6" t="str">
        <f t="shared" si="0"/>
        <v>00_50_9</v>
      </c>
      <c r="P6">
        <v>46.58</v>
      </c>
      <c r="Q6">
        <v>1.19</v>
      </c>
      <c r="R6">
        <v>4307</v>
      </c>
      <c r="S6">
        <v>91</v>
      </c>
      <c r="T6">
        <f t="shared" si="1"/>
        <v>1</v>
      </c>
      <c r="U6">
        <f t="shared" si="2"/>
        <v>75.14</v>
      </c>
      <c r="V6">
        <f t="shared" si="3"/>
        <v>6491</v>
      </c>
      <c r="W6" s="58" t="str">
        <f t="shared" si="4"/>
        <v>0° Skew Variable Width Abutment 50% Skewed Wings</v>
      </c>
      <c r="AC6">
        <v>20</v>
      </c>
      <c r="AE6" t="s">
        <v>125</v>
      </c>
      <c r="AF6">
        <v>9</v>
      </c>
      <c r="AG6" t="str">
        <f t="shared" si="5"/>
        <v>BSA-009 5° Skew Variable Width Abutment 25% Skewed Wings</v>
      </c>
    </row>
    <row r="7" spans="1:33" x14ac:dyDescent="0.25">
      <c r="A7" s="4" t="s">
        <v>401</v>
      </c>
      <c r="B7" s="12">
        <f>BridgeInformation!C22</f>
        <v>10</v>
      </c>
      <c r="C7" s="184"/>
      <c r="D7" s="185"/>
      <c r="E7" s="185"/>
      <c r="F7" s="186"/>
      <c r="G7" s="22"/>
      <c r="H7" s="22"/>
      <c r="I7" s="22"/>
      <c r="J7" s="22"/>
      <c r="K7" s="22"/>
      <c r="L7" s="22"/>
      <c r="M7" t="s">
        <v>116</v>
      </c>
      <c r="N7">
        <v>10</v>
      </c>
      <c r="O7" t="str">
        <f t="shared" si="0"/>
        <v>00_50_10</v>
      </c>
      <c r="P7">
        <v>49.23</v>
      </c>
      <c r="Q7">
        <v>1.27</v>
      </c>
      <c r="R7">
        <v>4307</v>
      </c>
      <c r="S7">
        <v>91</v>
      </c>
      <c r="T7">
        <f t="shared" si="1"/>
        <v>1</v>
      </c>
      <c r="U7">
        <f t="shared" si="2"/>
        <v>79.709999999999994</v>
      </c>
      <c r="V7">
        <f t="shared" si="3"/>
        <v>6491</v>
      </c>
      <c r="W7" s="58" t="str">
        <f t="shared" si="4"/>
        <v>0° Skew Variable Width Abutment 50% Skewed Wings</v>
      </c>
      <c r="AC7">
        <v>25</v>
      </c>
      <c r="AE7" t="s">
        <v>114</v>
      </c>
      <c r="AF7">
        <v>11</v>
      </c>
      <c r="AG7" t="str">
        <f t="shared" si="5"/>
        <v>BSA-011 5° Skew Variable Width Abutment 50% Skewed Wings</v>
      </c>
    </row>
    <row r="8" spans="1:33" x14ac:dyDescent="0.25">
      <c r="A8" s="4" t="s">
        <v>153</v>
      </c>
      <c r="B8" s="16">
        <f>MAX(5,ROUNDUP(B7+2,0))</f>
        <v>12</v>
      </c>
      <c r="C8" s="177" t="s">
        <v>157</v>
      </c>
      <c r="D8" s="178"/>
      <c r="E8" s="178"/>
      <c r="F8" s="179"/>
      <c r="G8" s="26"/>
      <c r="H8" s="26"/>
      <c r="I8" s="26"/>
      <c r="J8" s="26"/>
      <c r="K8" s="26"/>
      <c r="L8" s="26"/>
      <c r="M8" t="s">
        <v>116</v>
      </c>
      <c r="N8">
        <v>11</v>
      </c>
      <c r="O8" t="str">
        <f t="shared" si="0"/>
        <v>00_50_11</v>
      </c>
      <c r="P8">
        <v>60.56</v>
      </c>
      <c r="Q8">
        <v>1.41</v>
      </c>
      <c r="R8">
        <v>6117</v>
      </c>
      <c r="S8">
        <v>120.4</v>
      </c>
      <c r="T8">
        <f t="shared" si="1"/>
        <v>1</v>
      </c>
      <c r="U8">
        <f t="shared" si="2"/>
        <v>94.4</v>
      </c>
      <c r="V8">
        <f t="shared" si="3"/>
        <v>9006.6</v>
      </c>
      <c r="W8" s="58" t="str">
        <f t="shared" si="4"/>
        <v>0° Skew Variable Width Abutment 50% Skewed Wings</v>
      </c>
      <c r="AC8">
        <v>30</v>
      </c>
      <c r="AE8" t="s">
        <v>136</v>
      </c>
      <c r="AF8">
        <v>13</v>
      </c>
      <c r="AG8" t="str">
        <f t="shared" si="5"/>
        <v>BSA-013 10° Skew Variable Width Abutment 00% Skewed Wings</v>
      </c>
    </row>
    <row r="9" spans="1:33" hidden="1" x14ac:dyDescent="0.25">
      <c r="A9" s="4" t="s">
        <v>149</v>
      </c>
      <c r="B9" s="4" t="str">
        <f>RIGHT(CONCATENATE("0",B5),2)</f>
        <v>15</v>
      </c>
      <c r="C9" s="177" t="s">
        <v>154</v>
      </c>
      <c r="D9" s="178"/>
      <c r="E9" s="178"/>
      <c r="F9" s="179"/>
      <c r="G9" s="26"/>
      <c r="H9" s="26"/>
      <c r="I9" s="26"/>
      <c r="J9" s="26"/>
      <c r="K9" s="26"/>
      <c r="L9" s="26"/>
      <c r="M9" t="s">
        <v>116</v>
      </c>
      <c r="N9">
        <v>12</v>
      </c>
      <c r="O9" t="str">
        <f t="shared" si="0"/>
        <v>00_50_12</v>
      </c>
      <c r="P9">
        <v>63.5</v>
      </c>
      <c r="Q9">
        <v>1.49</v>
      </c>
      <c r="R9">
        <v>6117</v>
      </c>
      <c r="S9">
        <v>120.4</v>
      </c>
      <c r="T9">
        <f t="shared" si="1"/>
        <v>1</v>
      </c>
      <c r="U9">
        <f t="shared" si="2"/>
        <v>99.259999999999991</v>
      </c>
      <c r="V9">
        <f t="shared" si="3"/>
        <v>9006.6</v>
      </c>
      <c r="W9" s="58" t="str">
        <f t="shared" si="4"/>
        <v>0° Skew Variable Width Abutment 50% Skewed Wings</v>
      </c>
      <c r="AC9">
        <v>35</v>
      </c>
      <c r="AE9" t="s">
        <v>126</v>
      </c>
      <c r="AF9">
        <v>15</v>
      </c>
      <c r="AG9" t="str">
        <f t="shared" si="5"/>
        <v>BSA-015 10° Skew Variable Width Abutment 25% Skewed Wings</v>
      </c>
    </row>
    <row r="10" spans="1:33" hidden="1" x14ac:dyDescent="0.25">
      <c r="A10" s="4" t="s">
        <v>150</v>
      </c>
      <c r="B10" s="4">
        <f>IF(B6="Parallel","00",B6)</f>
        <v>50</v>
      </c>
      <c r="C10" s="177" t="s">
        <v>154</v>
      </c>
      <c r="D10" s="178"/>
      <c r="E10" s="178"/>
      <c r="F10" s="179"/>
      <c r="G10" s="26"/>
      <c r="H10" s="26"/>
      <c r="I10" s="26"/>
      <c r="J10" s="26"/>
      <c r="K10" s="26"/>
      <c r="L10" s="26"/>
      <c r="M10" t="s">
        <v>116</v>
      </c>
      <c r="N10">
        <v>13</v>
      </c>
      <c r="O10" t="str">
        <f t="shared" si="0"/>
        <v>00_50_13</v>
      </c>
      <c r="P10">
        <v>76.319999999999993</v>
      </c>
      <c r="Q10">
        <v>1.64</v>
      </c>
      <c r="R10">
        <v>8656</v>
      </c>
      <c r="S10">
        <v>161</v>
      </c>
      <c r="T10">
        <f t="shared" si="1"/>
        <v>1</v>
      </c>
      <c r="U10">
        <f t="shared" si="2"/>
        <v>115.67999999999999</v>
      </c>
      <c r="V10">
        <f t="shared" si="3"/>
        <v>12520</v>
      </c>
      <c r="W10" s="58" t="str">
        <f t="shared" si="4"/>
        <v>0° Skew Variable Width Abutment 50% Skewed Wings</v>
      </c>
      <c r="AC10">
        <v>40</v>
      </c>
      <c r="AE10" t="s">
        <v>115</v>
      </c>
      <c r="AF10">
        <v>17</v>
      </c>
      <c r="AG10" t="str">
        <f t="shared" si="5"/>
        <v>BSA-017 10° Skew Variable Width Abutment 50% Skewed Wings</v>
      </c>
    </row>
    <row r="11" spans="1:33" hidden="1" x14ac:dyDescent="0.25">
      <c r="A11" s="4" t="s">
        <v>151</v>
      </c>
      <c r="B11" s="4" t="str">
        <f>CONCATENATE(B9,"_",B10,"_",B8)</f>
        <v>15_50_12</v>
      </c>
      <c r="C11" s="180" t="s">
        <v>154</v>
      </c>
      <c r="D11" s="181"/>
      <c r="E11" s="181"/>
      <c r="F11" s="182"/>
      <c r="G11" s="26"/>
      <c r="H11" s="26"/>
      <c r="I11" s="26"/>
      <c r="J11" s="26"/>
      <c r="K11" s="26"/>
      <c r="L11" s="26"/>
      <c r="M11" t="s">
        <v>116</v>
      </c>
      <c r="N11">
        <v>14</v>
      </c>
      <c r="O11" t="str">
        <f t="shared" si="0"/>
        <v>00_50_14</v>
      </c>
      <c r="P11">
        <v>79.56</v>
      </c>
      <c r="Q11">
        <v>1.71</v>
      </c>
      <c r="R11">
        <v>8656</v>
      </c>
      <c r="S11">
        <v>161</v>
      </c>
      <c r="T11">
        <f t="shared" si="1"/>
        <v>1</v>
      </c>
      <c r="U11">
        <f t="shared" si="2"/>
        <v>120.6</v>
      </c>
      <c r="V11">
        <f t="shared" si="3"/>
        <v>12520</v>
      </c>
      <c r="W11" s="58" t="str">
        <f t="shared" si="4"/>
        <v>0° Skew Variable Width Abutment 50% Skewed Wings</v>
      </c>
      <c r="AC11">
        <v>45</v>
      </c>
      <c r="AE11" t="s">
        <v>137</v>
      </c>
      <c r="AF11">
        <v>19</v>
      </c>
      <c r="AG11" t="str">
        <f t="shared" si="5"/>
        <v>BSA-019 15° Skew Variable Width Abutment 00% Skewed Wings</v>
      </c>
    </row>
    <row r="12" spans="1:33" x14ac:dyDescent="0.25">
      <c r="M12" t="s">
        <v>116</v>
      </c>
      <c r="N12">
        <v>15</v>
      </c>
      <c r="O12" t="str">
        <f t="shared" si="0"/>
        <v>00_50_15</v>
      </c>
      <c r="P12">
        <v>97.76</v>
      </c>
      <c r="Q12">
        <v>1.86</v>
      </c>
      <c r="R12">
        <v>11857</v>
      </c>
      <c r="S12">
        <v>198.6</v>
      </c>
      <c r="T12">
        <f t="shared" si="1"/>
        <v>1</v>
      </c>
      <c r="U12">
        <f t="shared" si="2"/>
        <v>142.4</v>
      </c>
      <c r="V12">
        <f t="shared" si="3"/>
        <v>16623.400000000001</v>
      </c>
      <c r="W12" s="58" t="str">
        <f t="shared" si="4"/>
        <v>0° Skew Variable Width Abutment 50% Skewed Wings</v>
      </c>
      <c r="AE12" t="s">
        <v>127</v>
      </c>
      <c r="AF12">
        <v>21</v>
      </c>
      <c r="AG12" t="str">
        <f t="shared" si="5"/>
        <v>BSA-021 15° Skew Variable Width Abutment 25% Skewed Wings</v>
      </c>
    </row>
    <row r="13" spans="1:33" x14ac:dyDescent="0.25">
      <c r="M13" t="s">
        <v>116</v>
      </c>
      <c r="N13">
        <v>16</v>
      </c>
      <c r="O13" t="str">
        <f t="shared" si="0"/>
        <v>00_50_16</v>
      </c>
      <c r="P13">
        <v>101.44</v>
      </c>
      <c r="Q13">
        <v>1.96</v>
      </c>
      <c r="R13">
        <v>11857</v>
      </c>
      <c r="S13">
        <v>198.6</v>
      </c>
      <c r="T13">
        <f t="shared" si="1"/>
        <v>1</v>
      </c>
      <c r="U13">
        <f t="shared" si="2"/>
        <v>148.47999999999999</v>
      </c>
      <c r="V13">
        <f t="shared" si="3"/>
        <v>16623.400000000001</v>
      </c>
      <c r="W13" s="58" t="str">
        <f t="shared" si="4"/>
        <v>0° Skew Variable Width Abutment 50% Skewed Wings</v>
      </c>
      <c r="AE13" t="s">
        <v>117</v>
      </c>
      <c r="AF13">
        <v>23</v>
      </c>
      <c r="AG13" t="str">
        <f t="shared" si="5"/>
        <v>BSA-023 15° Skew Variable Width Abutment 50% Skewed Wings</v>
      </c>
    </row>
    <row r="14" spans="1:33" ht="15.75" x14ac:dyDescent="0.25">
      <c r="A14" s="7" t="s">
        <v>33</v>
      </c>
      <c r="B14" s="7" t="s">
        <v>31</v>
      </c>
      <c r="C14" s="7" t="s">
        <v>29</v>
      </c>
      <c r="D14" s="7" t="s">
        <v>34</v>
      </c>
      <c r="E14" s="7" t="s">
        <v>35</v>
      </c>
      <c r="M14" t="s">
        <v>114</v>
      </c>
      <c r="N14">
        <v>5</v>
      </c>
      <c r="O14" t="str">
        <f t="shared" si="0"/>
        <v>05_50_5</v>
      </c>
      <c r="P14">
        <v>18.920000000000002</v>
      </c>
      <c r="Q14">
        <v>0.71</v>
      </c>
      <c r="R14">
        <v>1785</v>
      </c>
      <c r="S14">
        <v>52.8</v>
      </c>
      <c r="T14">
        <f t="shared" si="1"/>
        <v>1.004</v>
      </c>
      <c r="U14">
        <f t="shared" si="2"/>
        <v>36.02816</v>
      </c>
      <c r="V14">
        <f t="shared" si="3"/>
        <v>3057.2687999999998</v>
      </c>
      <c r="W14" s="58" t="str">
        <f t="shared" si="4"/>
        <v>5° Skew Variable Width Abutment 50% Skewed Wings</v>
      </c>
      <c r="AE14" t="s">
        <v>138</v>
      </c>
      <c r="AF14">
        <v>25</v>
      </c>
      <c r="AG14" t="str">
        <f t="shared" si="5"/>
        <v>BSA-025 20° Skew Variable Width Abutment 00% Skewed Wings</v>
      </c>
    </row>
    <row r="15" spans="1:33" x14ac:dyDescent="0.25">
      <c r="A15" s="4" t="s">
        <v>362</v>
      </c>
      <c r="B15" s="12">
        <f>VLOOKUP(B11,O$2:V$361,7,FALSE)</f>
        <v>100.88159999999999</v>
      </c>
      <c r="C15" s="28" t="s">
        <v>32</v>
      </c>
      <c r="D15" s="8">
        <v>1300</v>
      </c>
      <c r="E15" s="10">
        <f>D15*B15</f>
        <v>131146.07999999999</v>
      </c>
      <c r="M15" t="s">
        <v>114</v>
      </c>
      <c r="N15">
        <v>6</v>
      </c>
      <c r="O15" t="str">
        <f t="shared" si="0"/>
        <v>05_50_6</v>
      </c>
      <c r="P15">
        <v>20.61</v>
      </c>
      <c r="Q15">
        <v>0.78</v>
      </c>
      <c r="R15">
        <v>1785</v>
      </c>
      <c r="S15">
        <v>52.8</v>
      </c>
      <c r="T15">
        <f t="shared" si="1"/>
        <v>1.004</v>
      </c>
      <c r="U15">
        <f t="shared" si="2"/>
        <v>39.404879999999999</v>
      </c>
      <c r="V15">
        <f t="shared" si="3"/>
        <v>3057.2687999999998</v>
      </c>
      <c r="W15" s="58" t="str">
        <f t="shared" si="4"/>
        <v>5° Skew Variable Width Abutment 50% Skewed Wings</v>
      </c>
      <c r="AE15" t="s">
        <v>128</v>
      </c>
      <c r="AF15">
        <v>27</v>
      </c>
      <c r="AG15" t="str">
        <f t="shared" si="5"/>
        <v>BSA-027 20° Skew Variable Width Abutment 25% Skewed Wings</v>
      </c>
    </row>
    <row r="16" spans="1:33" x14ac:dyDescent="0.25">
      <c r="A16" s="4" t="s">
        <v>36</v>
      </c>
      <c r="B16" s="9">
        <f>VLOOKUP(B11,O$2:V$361,8,FALSE)</f>
        <v>9123.7360000000008</v>
      </c>
      <c r="C16" s="28" t="s">
        <v>158</v>
      </c>
      <c r="D16" s="8">
        <v>2.0299999999999998</v>
      </c>
      <c r="E16" s="10">
        <f>D16*B16</f>
        <v>18521.184079999999</v>
      </c>
      <c r="M16" t="s">
        <v>114</v>
      </c>
      <c r="N16">
        <v>7</v>
      </c>
      <c r="O16" t="str">
        <f t="shared" si="0"/>
        <v>05_50_7</v>
      </c>
      <c r="P16">
        <v>28.09</v>
      </c>
      <c r="Q16">
        <v>0.93</v>
      </c>
      <c r="R16">
        <v>2590</v>
      </c>
      <c r="S16">
        <v>68.7</v>
      </c>
      <c r="T16">
        <f t="shared" si="1"/>
        <v>1.004</v>
      </c>
      <c r="U16">
        <f t="shared" si="2"/>
        <v>50.499279999999999</v>
      </c>
      <c r="V16">
        <f t="shared" si="3"/>
        <v>4245.3951999999999</v>
      </c>
      <c r="W16" s="58" t="str">
        <f t="shared" si="4"/>
        <v>5° Skew Variable Width Abutment 50% Skewed Wings</v>
      </c>
      <c r="AE16" t="s">
        <v>118</v>
      </c>
      <c r="AF16">
        <v>29</v>
      </c>
      <c r="AG16" t="str">
        <f t="shared" si="5"/>
        <v>BSA-029 20° Skew Variable Width Abutment 50% Skewed Wings</v>
      </c>
    </row>
    <row r="17" spans="1:33" x14ac:dyDescent="0.25">
      <c r="A17" s="4" t="s">
        <v>42</v>
      </c>
      <c r="B17" s="4">
        <v>1</v>
      </c>
      <c r="C17" s="28" t="s">
        <v>47</v>
      </c>
      <c r="D17" s="8">
        <v>40000</v>
      </c>
      <c r="E17" s="10">
        <f t="shared" ref="E17:E18" si="6">D17*B17</f>
        <v>40000</v>
      </c>
      <c r="M17" t="s">
        <v>114</v>
      </c>
      <c r="N17">
        <v>8</v>
      </c>
      <c r="O17" t="str">
        <f t="shared" si="0"/>
        <v>05_50_8</v>
      </c>
      <c r="P17">
        <v>30.07</v>
      </c>
      <c r="Q17">
        <v>1.01</v>
      </c>
      <c r="R17">
        <v>2590</v>
      </c>
      <c r="S17">
        <v>68.7</v>
      </c>
      <c r="T17">
        <f t="shared" si="1"/>
        <v>1.004</v>
      </c>
      <c r="U17">
        <f t="shared" si="2"/>
        <v>54.406959999999998</v>
      </c>
      <c r="V17">
        <f t="shared" si="3"/>
        <v>4245.3951999999999</v>
      </c>
      <c r="W17" s="58" t="str">
        <f t="shared" si="4"/>
        <v>5° Skew Variable Width Abutment 50% Skewed Wings</v>
      </c>
      <c r="AE17" t="s">
        <v>139</v>
      </c>
      <c r="AF17">
        <v>31</v>
      </c>
      <c r="AG17" t="str">
        <f t="shared" si="5"/>
        <v>BSA-031 25° Skew Variable Width Abutment 00% Skewed Wings</v>
      </c>
    </row>
    <row r="18" spans="1:33" x14ac:dyDescent="0.25">
      <c r="A18" s="4" t="s">
        <v>147</v>
      </c>
      <c r="B18" s="4"/>
      <c r="C18" s="28" t="s">
        <v>76</v>
      </c>
      <c r="D18" s="8">
        <v>54.77</v>
      </c>
      <c r="E18" s="10">
        <f t="shared" si="6"/>
        <v>0</v>
      </c>
      <c r="M18" t="s">
        <v>114</v>
      </c>
      <c r="N18">
        <v>9</v>
      </c>
      <c r="O18" t="str">
        <f t="shared" si="0"/>
        <v>05_50_9</v>
      </c>
      <c r="P18">
        <v>45.33</v>
      </c>
      <c r="Q18">
        <v>1.19</v>
      </c>
      <c r="R18">
        <v>4204</v>
      </c>
      <c r="S18">
        <v>91</v>
      </c>
      <c r="T18">
        <f t="shared" si="1"/>
        <v>1.004</v>
      </c>
      <c r="U18">
        <f t="shared" si="2"/>
        <v>74.004239999999996</v>
      </c>
      <c r="V18">
        <f t="shared" si="3"/>
        <v>6396.7359999999999</v>
      </c>
      <c r="W18" s="58" t="str">
        <f t="shared" si="4"/>
        <v>5° Skew Variable Width Abutment 50% Skewed Wings</v>
      </c>
      <c r="AE18" t="s">
        <v>129</v>
      </c>
      <c r="AF18">
        <v>33</v>
      </c>
      <c r="AG18" t="str">
        <f t="shared" si="5"/>
        <v>BSA-033 25° Skew Variable Width Abutment 25% Skewed Wings</v>
      </c>
    </row>
    <row r="19" spans="1:33" x14ac:dyDescent="0.25">
      <c r="A19" s="5" t="s">
        <v>48</v>
      </c>
      <c r="B19" s="112" t="s">
        <v>435</v>
      </c>
      <c r="C19" s="112" t="s">
        <v>435</v>
      </c>
      <c r="D19" s="112" t="s">
        <v>435</v>
      </c>
      <c r="E19" s="11">
        <f>SUM(E15:E17)</f>
        <v>189667.26407999999</v>
      </c>
      <c r="M19" t="s">
        <v>114</v>
      </c>
      <c r="N19">
        <v>10</v>
      </c>
      <c r="O19" t="str">
        <f t="shared" si="0"/>
        <v>05_50_10</v>
      </c>
      <c r="P19">
        <v>47.9</v>
      </c>
      <c r="Q19">
        <v>1.27</v>
      </c>
      <c r="R19">
        <v>4204</v>
      </c>
      <c r="S19">
        <v>91</v>
      </c>
      <c r="T19">
        <f t="shared" si="1"/>
        <v>1.004</v>
      </c>
      <c r="U19">
        <f t="shared" si="2"/>
        <v>78.501919999999998</v>
      </c>
      <c r="V19">
        <f t="shared" si="3"/>
        <v>6396.7359999999999</v>
      </c>
      <c r="W19" s="58" t="str">
        <f t="shared" si="4"/>
        <v>5° Skew Variable Width Abutment 50% Skewed Wings</v>
      </c>
      <c r="AE19" t="s">
        <v>119</v>
      </c>
      <c r="AF19">
        <v>35</v>
      </c>
      <c r="AG19" t="str">
        <f t="shared" si="5"/>
        <v>BSA-035 25° Skew Variable Width Abutment 50% Skewed Wings</v>
      </c>
    </row>
    <row r="20" spans="1:33" x14ac:dyDescent="0.25">
      <c r="M20" t="s">
        <v>114</v>
      </c>
      <c r="N20">
        <v>11</v>
      </c>
      <c r="O20" t="str">
        <f t="shared" si="0"/>
        <v>05_50_11</v>
      </c>
      <c r="P20">
        <v>59.09</v>
      </c>
      <c r="Q20">
        <v>1.41</v>
      </c>
      <c r="R20">
        <v>5983</v>
      </c>
      <c r="S20">
        <v>120.4</v>
      </c>
      <c r="T20">
        <f t="shared" si="1"/>
        <v>1.004</v>
      </c>
      <c r="U20">
        <f t="shared" si="2"/>
        <v>93.065359999999998</v>
      </c>
      <c r="V20">
        <f t="shared" si="3"/>
        <v>8884.1584000000003</v>
      </c>
      <c r="W20" s="58" t="str">
        <f t="shared" si="4"/>
        <v>5° Skew Variable Width Abutment 50% Skewed Wings</v>
      </c>
      <c r="AE20" t="s">
        <v>140</v>
      </c>
      <c r="AF20">
        <v>37</v>
      </c>
      <c r="AG20" t="str">
        <f t="shared" si="5"/>
        <v>BSA-037 30° Skew Variable Width Abutment 00% Skewed Wings</v>
      </c>
    </row>
    <row r="21" spans="1:33" x14ac:dyDescent="0.25">
      <c r="M21" t="s">
        <v>114</v>
      </c>
      <c r="N21">
        <v>12</v>
      </c>
      <c r="O21" t="str">
        <f t="shared" si="0"/>
        <v>05_50_12</v>
      </c>
      <c r="P21">
        <v>61.96</v>
      </c>
      <c r="Q21">
        <v>1.49</v>
      </c>
      <c r="R21">
        <v>5983</v>
      </c>
      <c r="S21">
        <v>120.4</v>
      </c>
      <c r="T21">
        <f t="shared" si="1"/>
        <v>1.004</v>
      </c>
      <c r="U21">
        <f t="shared" si="2"/>
        <v>97.863039999999998</v>
      </c>
      <c r="V21">
        <f t="shared" si="3"/>
        <v>8884.1584000000003</v>
      </c>
      <c r="W21" s="58" t="str">
        <f t="shared" si="4"/>
        <v>5° Skew Variable Width Abutment 50% Skewed Wings</v>
      </c>
      <c r="AE21" t="s">
        <v>130</v>
      </c>
      <c r="AF21">
        <v>39</v>
      </c>
      <c r="AG21" t="str">
        <f t="shared" si="5"/>
        <v>BSA-039 30° Skew Variable Width Abutment 25% Skewed Wings</v>
      </c>
    </row>
    <row r="22" spans="1:33" ht="17.25" x14ac:dyDescent="0.3">
      <c r="A22" s="201" t="s">
        <v>278</v>
      </c>
      <c r="B22" s="202"/>
      <c r="M22" t="s">
        <v>114</v>
      </c>
      <c r="N22">
        <v>13</v>
      </c>
      <c r="O22" t="str">
        <f t="shared" si="0"/>
        <v>05_50_13</v>
      </c>
      <c r="P22">
        <v>76.36</v>
      </c>
      <c r="Q22">
        <v>1.64</v>
      </c>
      <c r="R22">
        <v>8660</v>
      </c>
      <c r="S22">
        <v>161</v>
      </c>
      <c r="T22">
        <f t="shared" si="1"/>
        <v>1.004</v>
      </c>
      <c r="U22">
        <f t="shared" si="2"/>
        <v>115.87744000000001</v>
      </c>
      <c r="V22">
        <f t="shared" si="3"/>
        <v>12539.456</v>
      </c>
      <c r="W22" s="58" t="str">
        <f t="shared" si="4"/>
        <v>5° Skew Variable Width Abutment 50% Skewed Wings</v>
      </c>
      <c r="AE22" t="s">
        <v>120</v>
      </c>
      <c r="AF22">
        <v>41</v>
      </c>
      <c r="AG22" t="str">
        <f t="shared" si="5"/>
        <v>BSA-041 30° Skew Variable Width Abutment 50% Skewed Wings</v>
      </c>
    </row>
    <row r="23" spans="1:33" ht="15.75" x14ac:dyDescent="0.25">
      <c r="A23" s="203" t="s">
        <v>283</v>
      </c>
      <c r="B23" s="203"/>
      <c r="M23" t="s">
        <v>114</v>
      </c>
      <c r="N23">
        <v>14</v>
      </c>
      <c r="O23" t="str">
        <f t="shared" si="0"/>
        <v>05_50_14</v>
      </c>
      <c r="P23">
        <v>79.599999999999994</v>
      </c>
      <c r="Q23">
        <v>1.71</v>
      </c>
      <c r="R23">
        <v>8660</v>
      </c>
      <c r="S23">
        <v>161</v>
      </c>
      <c r="T23">
        <f t="shared" si="1"/>
        <v>1.004</v>
      </c>
      <c r="U23">
        <f t="shared" si="2"/>
        <v>120.80416</v>
      </c>
      <c r="V23">
        <f t="shared" si="3"/>
        <v>12539.456</v>
      </c>
      <c r="W23" s="58" t="str">
        <f t="shared" si="4"/>
        <v>5° Skew Variable Width Abutment 50% Skewed Wings</v>
      </c>
      <c r="AE23" t="s">
        <v>141</v>
      </c>
      <c r="AF23">
        <v>43</v>
      </c>
      <c r="AG23" t="str">
        <f t="shared" si="5"/>
        <v>BSA-043 35° Skew Variable Width Abutment 00% Skewed Wings</v>
      </c>
    </row>
    <row r="24" spans="1:33" x14ac:dyDescent="0.25">
      <c r="A24" s="54" t="str">
        <f>VLOOKUP(LEFT(B11,5),AE2:AG31,3,FALSE)</f>
        <v>BSA-023 15° Skew Variable Width Abutment 50% Skewed Wings</v>
      </c>
      <c r="M24" t="s">
        <v>114</v>
      </c>
      <c r="N24">
        <v>15</v>
      </c>
      <c r="O24" t="str">
        <f t="shared" si="0"/>
        <v>05_50_15</v>
      </c>
      <c r="P24">
        <v>97.81</v>
      </c>
      <c r="Q24">
        <v>1.86</v>
      </c>
      <c r="R24">
        <v>11856</v>
      </c>
      <c r="S24">
        <v>198.6</v>
      </c>
      <c r="T24">
        <f t="shared" si="1"/>
        <v>1.004</v>
      </c>
      <c r="U24">
        <f t="shared" si="2"/>
        <v>142.62855999999999</v>
      </c>
      <c r="V24">
        <f t="shared" si="3"/>
        <v>16641.4656</v>
      </c>
      <c r="W24" s="58" t="str">
        <f t="shared" si="4"/>
        <v>5° Skew Variable Width Abutment 50% Skewed Wings</v>
      </c>
      <c r="AE24" t="s">
        <v>131</v>
      </c>
      <c r="AF24">
        <v>45</v>
      </c>
      <c r="AG24" t="str">
        <f t="shared" si="5"/>
        <v>BSA-045 35° Skew Variable Width Abutment 25% Skewed Wings</v>
      </c>
    </row>
    <row r="25" spans="1:33" x14ac:dyDescent="0.25">
      <c r="A25" s="54" t="str">
        <f>VLOOKUP(LEFT(B11,5),AE34:AG63,3,FALSE)</f>
        <v>BSA-024 15° Skew Variable Width Abutment 50% Skewed Wings</v>
      </c>
      <c r="M25" t="s">
        <v>114</v>
      </c>
      <c r="N25">
        <v>16</v>
      </c>
      <c r="O25" t="str">
        <f t="shared" si="0"/>
        <v>05_50_16</v>
      </c>
      <c r="P25">
        <v>101.5</v>
      </c>
      <c r="Q25">
        <v>1.93</v>
      </c>
      <c r="R25">
        <v>11856</v>
      </c>
      <c r="S25">
        <v>198.6</v>
      </c>
      <c r="T25">
        <f t="shared" si="1"/>
        <v>1.004</v>
      </c>
      <c r="U25">
        <f t="shared" si="2"/>
        <v>148.00528</v>
      </c>
      <c r="V25">
        <f t="shared" si="3"/>
        <v>16641.4656</v>
      </c>
      <c r="W25" s="58" t="str">
        <f t="shared" si="4"/>
        <v>5° Skew Variable Width Abutment 50% Skewed Wings</v>
      </c>
      <c r="AE25" t="s">
        <v>121</v>
      </c>
      <c r="AF25">
        <v>47</v>
      </c>
      <c r="AG25" t="str">
        <f t="shared" si="5"/>
        <v>BSA-047 35° Skew Variable Width Abutment 50% Skewed Wings</v>
      </c>
    </row>
    <row r="26" spans="1:33" x14ac:dyDescent="0.25">
      <c r="M26" t="s">
        <v>115</v>
      </c>
      <c r="N26">
        <v>5</v>
      </c>
      <c r="O26" t="str">
        <f t="shared" si="0"/>
        <v>10_50_5</v>
      </c>
      <c r="P26">
        <v>18.989999999999998</v>
      </c>
      <c r="Q26">
        <v>0.71</v>
      </c>
      <c r="R26">
        <v>1788</v>
      </c>
      <c r="S26">
        <v>52.8</v>
      </c>
      <c r="T26">
        <f t="shared" si="1"/>
        <v>1.0149999999999999</v>
      </c>
      <c r="U26">
        <f t="shared" si="2"/>
        <v>36.285599999999995</v>
      </c>
      <c r="V26">
        <f t="shared" si="3"/>
        <v>3074.2079999999996</v>
      </c>
      <c r="W26" s="58" t="str">
        <f t="shared" si="4"/>
        <v>10° Skew Variable Width Abutment 50% Skewed Wings</v>
      </c>
      <c r="AE26" t="s">
        <v>142</v>
      </c>
      <c r="AF26">
        <v>49</v>
      </c>
      <c r="AG26" t="str">
        <f t="shared" si="5"/>
        <v>BSA-049 40° Skew Variable Width Abutment 00% Skewed Wings</v>
      </c>
    </row>
    <row r="27" spans="1:33" x14ac:dyDescent="0.25">
      <c r="M27" t="s">
        <v>115</v>
      </c>
      <c r="N27">
        <v>6</v>
      </c>
      <c r="O27" t="str">
        <f t="shared" si="0"/>
        <v>10_50_6</v>
      </c>
      <c r="P27">
        <v>20.68</v>
      </c>
      <c r="Q27">
        <v>0.78</v>
      </c>
      <c r="R27">
        <v>1788</v>
      </c>
      <c r="S27">
        <v>52.8</v>
      </c>
      <c r="T27">
        <f t="shared" si="1"/>
        <v>1.0149999999999999</v>
      </c>
      <c r="U27">
        <f t="shared" si="2"/>
        <v>39.680799999999998</v>
      </c>
      <c r="V27">
        <f t="shared" si="3"/>
        <v>3074.2079999999996</v>
      </c>
      <c r="W27" s="58" t="str">
        <f t="shared" si="4"/>
        <v>10° Skew Variable Width Abutment 50% Skewed Wings</v>
      </c>
      <c r="AE27" t="s">
        <v>132</v>
      </c>
      <c r="AF27">
        <v>51</v>
      </c>
      <c r="AG27" t="str">
        <f t="shared" si="5"/>
        <v>BSA-051 40° Skew Variable Width Abutment 25% Skewed Wings</v>
      </c>
    </row>
    <row r="28" spans="1:33" x14ac:dyDescent="0.25">
      <c r="M28" t="s">
        <v>115</v>
      </c>
      <c r="N28">
        <v>7</v>
      </c>
      <c r="O28" t="str">
        <f t="shared" si="0"/>
        <v>10_50_7</v>
      </c>
      <c r="P28">
        <v>29.2</v>
      </c>
      <c r="Q28">
        <v>0.93</v>
      </c>
      <c r="R28">
        <v>2676</v>
      </c>
      <c r="S28">
        <v>68.7</v>
      </c>
      <c r="T28">
        <f t="shared" si="1"/>
        <v>1.0149999999999999</v>
      </c>
      <c r="U28">
        <f t="shared" si="2"/>
        <v>51.854799999999997</v>
      </c>
      <c r="V28">
        <f t="shared" si="3"/>
        <v>4349.5320000000002</v>
      </c>
      <c r="W28" s="58" t="str">
        <f t="shared" si="4"/>
        <v>10° Skew Variable Width Abutment 50% Skewed Wings</v>
      </c>
      <c r="AE28" t="s">
        <v>122</v>
      </c>
      <c r="AF28">
        <v>53</v>
      </c>
      <c r="AG28" t="str">
        <f t="shared" si="5"/>
        <v>BSA-053 40° Skew Variable Width Abutment 50% Skewed Wings</v>
      </c>
    </row>
    <row r="29" spans="1:33" x14ac:dyDescent="0.25">
      <c r="M29" t="s">
        <v>115</v>
      </c>
      <c r="N29">
        <v>8</v>
      </c>
      <c r="O29" t="str">
        <f t="shared" si="0"/>
        <v>10_50_8</v>
      </c>
      <c r="P29">
        <v>31.26</v>
      </c>
      <c r="Q29">
        <v>1.01</v>
      </c>
      <c r="R29">
        <v>2676</v>
      </c>
      <c r="S29">
        <v>68.7</v>
      </c>
      <c r="T29">
        <f t="shared" si="1"/>
        <v>1.0149999999999999</v>
      </c>
      <c r="U29">
        <f t="shared" si="2"/>
        <v>55.863600000000005</v>
      </c>
      <c r="V29">
        <f t="shared" si="3"/>
        <v>4349.5320000000002</v>
      </c>
      <c r="W29" s="58" t="str">
        <f t="shared" si="4"/>
        <v>10° Skew Variable Width Abutment 50% Skewed Wings</v>
      </c>
      <c r="AE29" t="s">
        <v>143</v>
      </c>
      <c r="AF29">
        <v>55</v>
      </c>
      <c r="AG29" t="str">
        <f t="shared" si="5"/>
        <v>BSA-055 45° Skew Variable Width Abutment 00% Skewed Wings</v>
      </c>
    </row>
    <row r="30" spans="1:33" x14ac:dyDescent="0.25">
      <c r="M30" t="s">
        <v>115</v>
      </c>
      <c r="N30">
        <v>9</v>
      </c>
      <c r="O30" t="str">
        <f t="shared" si="0"/>
        <v>10_50_9</v>
      </c>
      <c r="P30">
        <v>44.14</v>
      </c>
      <c r="Q30">
        <v>1.19</v>
      </c>
      <c r="R30">
        <v>4102</v>
      </c>
      <c r="S30">
        <v>91</v>
      </c>
      <c r="T30">
        <f t="shared" si="1"/>
        <v>1.0149999999999999</v>
      </c>
      <c r="U30">
        <f t="shared" si="2"/>
        <v>73.128399999999999</v>
      </c>
      <c r="V30">
        <f t="shared" si="3"/>
        <v>6318.76</v>
      </c>
      <c r="W30" s="58" t="str">
        <f t="shared" si="4"/>
        <v>10° Skew Variable Width Abutment 50% Skewed Wings</v>
      </c>
      <c r="AE30" t="s">
        <v>133</v>
      </c>
      <c r="AF30">
        <v>57</v>
      </c>
      <c r="AG30" t="str">
        <f t="shared" si="5"/>
        <v>BSA-057 45° Skew Variable Width Abutment 25% Skewed Wings</v>
      </c>
    </row>
    <row r="31" spans="1:33" x14ac:dyDescent="0.25">
      <c r="M31" t="s">
        <v>115</v>
      </c>
      <c r="N31">
        <v>10</v>
      </c>
      <c r="O31" t="str">
        <f t="shared" si="0"/>
        <v>10_50_10</v>
      </c>
      <c r="P31">
        <v>46.65</v>
      </c>
      <c r="Q31">
        <v>1.27</v>
      </c>
      <c r="R31">
        <v>4102</v>
      </c>
      <c r="S31">
        <v>91</v>
      </c>
      <c r="T31">
        <f t="shared" si="1"/>
        <v>1.0149999999999999</v>
      </c>
      <c r="U31">
        <f t="shared" si="2"/>
        <v>77.587199999999996</v>
      </c>
      <c r="V31">
        <f t="shared" si="3"/>
        <v>6318.76</v>
      </c>
      <c r="W31" s="58" t="str">
        <f t="shared" si="4"/>
        <v>10° Skew Variable Width Abutment 50% Skewed Wings</v>
      </c>
      <c r="AE31" t="s">
        <v>123</v>
      </c>
      <c r="AF31">
        <v>59</v>
      </c>
      <c r="AG31" t="str">
        <f t="shared" si="5"/>
        <v>BSA-059 45° Skew Variable Width Abutment 50% Skewed Wings</v>
      </c>
    </row>
    <row r="32" spans="1:33" x14ac:dyDescent="0.25">
      <c r="M32" t="s">
        <v>115</v>
      </c>
      <c r="N32">
        <v>11</v>
      </c>
      <c r="O32" t="str">
        <f t="shared" si="0"/>
        <v>10_50_11</v>
      </c>
      <c r="P32">
        <v>59.21</v>
      </c>
      <c r="Q32">
        <v>1.41</v>
      </c>
      <c r="R32">
        <v>5987</v>
      </c>
      <c r="S32">
        <v>120.4</v>
      </c>
      <c r="T32">
        <f t="shared" si="1"/>
        <v>1.0149999999999999</v>
      </c>
      <c r="U32">
        <f t="shared" si="2"/>
        <v>93.557599999999994</v>
      </c>
      <c r="V32">
        <f t="shared" si="3"/>
        <v>8919.9439999999995</v>
      </c>
      <c r="W32" s="58" t="str">
        <f t="shared" si="4"/>
        <v>10° Skew Variable Width Abutment 50% Skewed Wings</v>
      </c>
    </row>
    <row r="33" spans="13:33" x14ac:dyDescent="0.25">
      <c r="M33" t="s">
        <v>115</v>
      </c>
      <c r="N33">
        <v>12</v>
      </c>
      <c r="O33" t="str">
        <f t="shared" si="0"/>
        <v>10_50_12</v>
      </c>
      <c r="P33">
        <v>62.08</v>
      </c>
      <c r="Q33">
        <v>1.49</v>
      </c>
      <c r="R33">
        <v>5987</v>
      </c>
      <c r="S33">
        <v>120.4</v>
      </c>
      <c r="T33">
        <f t="shared" si="1"/>
        <v>1.0149999999999999</v>
      </c>
      <c r="U33">
        <f t="shared" si="2"/>
        <v>98.37639999999999</v>
      </c>
      <c r="V33">
        <f t="shared" si="3"/>
        <v>8919.9439999999995</v>
      </c>
      <c r="W33" s="58" t="str">
        <f t="shared" si="4"/>
        <v>10° Skew Variable Width Abutment 50% Skewed Wings</v>
      </c>
      <c r="AE33" t="s">
        <v>322</v>
      </c>
    </row>
    <row r="34" spans="13:33" x14ac:dyDescent="0.25">
      <c r="M34" t="s">
        <v>115</v>
      </c>
      <c r="N34">
        <v>13</v>
      </c>
      <c r="O34" t="str">
        <f t="shared" si="0"/>
        <v>10_50_13</v>
      </c>
      <c r="P34">
        <v>78.23</v>
      </c>
      <c r="Q34">
        <v>1.64</v>
      </c>
      <c r="R34">
        <v>8896</v>
      </c>
      <c r="S34">
        <v>161</v>
      </c>
      <c r="T34">
        <f t="shared" si="1"/>
        <v>1.0149999999999999</v>
      </c>
      <c r="U34">
        <f t="shared" si="2"/>
        <v>118.18039999999999</v>
      </c>
      <c r="V34">
        <f t="shared" si="3"/>
        <v>12817.96</v>
      </c>
      <c r="W34" s="58" t="str">
        <f t="shared" si="4"/>
        <v>10° Skew Variable Width Abutment 50% Skewed Wings</v>
      </c>
      <c r="AE34" t="s">
        <v>134</v>
      </c>
      <c r="AF34">
        <v>2</v>
      </c>
      <c r="AG34" t="str">
        <f t="shared" ref="AG34:AG63" si="7">CONCATENATE("BSA-",RIGHT(CONCATENATE("000",AF34),3)," ",LEFT(AE34,2)*1,"° Skew Variable Width Abutment ",RIGHT(AE34,2),"% Skewed Wings")</f>
        <v>BSA-002 0° Skew Variable Width Abutment 00% Skewed Wings</v>
      </c>
    </row>
    <row r="35" spans="13:33" x14ac:dyDescent="0.25">
      <c r="M35" t="s">
        <v>115</v>
      </c>
      <c r="N35">
        <v>14</v>
      </c>
      <c r="O35" t="str">
        <f t="shared" si="0"/>
        <v>10_50_14</v>
      </c>
      <c r="P35">
        <v>81.55</v>
      </c>
      <c r="Q35">
        <v>1.71</v>
      </c>
      <c r="R35">
        <v>8896</v>
      </c>
      <c r="S35">
        <v>161</v>
      </c>
      <c r="T35">
        <f t="shared" si="1"/>
        <v>1.0149999999999999</v>
      </c>
      <c r="U35">
        <f t="shared" si="2"/>
        <v>123.20559999999999</v>
      </c>
      <c r="V35">
        <f t="shared" si="3"/>
        <v>12817.96</v>
      </c>
      <c r="W35" s="58" t="str">
        <f t="shared" si="4"/>
        <v>10° Skew Variable Width Abutment 50% Skewed Wings</v>
      </c>
      <c r="AE35" t="s">
        <v>124</v>
      </c>
      <c r="AF35">
        <v>4</v>
      </c>
      <c r="AG35" t="str">
        <f t="shared" si="7"/>
        <v>BSA-004 0° Skew Variable Width Abutment 25% Skewed Wings</v>
      </c>
    </row>
    <row r="36" spans="13:33" x14ac:dyDescent="0.25">
      <c r="M36" t="s">
        <v>115</v>
      </c>
      <c r="N36">
        <v>15</v>
      </c>
      <c r="O36" t="str">
        <f t="shared" si="0"/>
        <v>10_50_15</v>
      </c>
      <c r="P36">
        <v>97.96</v>
      </c>
      <c r="Q36">
        <v>1.86</v>
      </c>
      <c r="R36">
        <v>11932</v>
      </c>
      <c r="S36">
        <v>198.6</v>
      </c>
      <c r="T36">
        <f t="shared" si="1"/>
        <v>1.0149999999999999</v>
      </c>
      <c r="U36">
        <f t="shared" si="2"/>
        <v>143.2696</v>
      </c>
      <c r="V36">
        <f t="shared" si="3"/>
        <v>16769.896000000001</v>
      </c>
      <c r="W36" s="58" t="str">
        <f t="shared" si="4"/>
        <v>10° Skew Variable Width Abutment 50% Skewed Wings</v>
      </c>
      <c r="AE36" t="s">
        <v>116</v>
      </c>
      <c r="AF36">
        <v>6</v>
      </c>
      <c r="AG36" t="str">
        <f t="shared" si="7"/>
        <v>BSA-006 0° Skew Variable Width Abutment 50% Skewed Wings</v>
      </c>
    </row>
    <row r="37" spans="13:33" x14ac:dyDescent="0.25">
      <c r="M37" t="s">
        <v>115</v>
      </c>
      <c r="N37">
        <v>16</v>
      </c>
      <c r="O37" t="str">
        <f t="shared" si="0"/>
        <v>10_50_16</v>
      </c>
      <c r="P37">
        <v>101.65</v>
      </c>
      <c r="Q37">
        <v>1.93</v>
      </c>
      <c r="R37">
        <v>11932</v>
      </c>
      <c r="S37">
        <v>198.6</v>
      </c>
      <c r="T37">
        <f t="shared" si="1"/>
        <v>1.0149999999999999</v>
      </c>
      <c r="U37">
        <f t="shared" si="2"/>
        <v>148.66480000000001</v>
      </c>
      <c r="V37">
        <f t="shared" si="3"/>
        <v>16769.896000000001</v>
      </c>
      <c r="W37" s="58" t="str">
        <f t="shared" si="4"/>
        <v>10° Skew Variable Width Abutment 50% Skewed Wings</v>
      </c>
      <c r="AE37" t="s">
        <v>135</v>
      </c>
      <c r="AF37">
        <v>8</v>
      </c>
      <c r="AG37" t="str">
        <f t="shared" si="7"/>
        <v>BSA-008 5° Skew Variable Width Abutment 00% Skewed Wings</v>
      </c>
    </row>
    <row r="38" spans="13:33" x14ac:dyDescent="0.25">
      <c r="M38" t="s">
        <v>117</v>
      </c>
      <c r="N38">
        <v>5</v>
      </c>
      <c r="O38" t="str">
        <f t="shared" si="0"/>
        <v>15_50_5</v>
      </c>
      <c r="P38">
        <v>19.899999999999999</v>
      </c>
      <c r="Q38">
        <v>0.71</v>
      </c>
      <c r="R38">
        <v>1864</v>
      </c>
      <c r="S38">
        <v>52.8</v>
      </c>
      <c r="T38">
        <f t="shared" si="1"/>
        <v>1.0349999999999999</v>
      </c>
      <c r="U38">
        <f t="shared" si="2"/>
        <v>37.5364</v>
      </c>
      <c r="V38">
        <f t="shared" si="3"/>
        <v>3175.5519999999997</v>
      </c>
      <c r="W38" s="58" t="str">
        <f t="shared" si="4"/>
        <v>15° Skew Variable Width Abutment 50% Skewed Wings</v>
      </c>
      <c r="AE38" t="s">
        <v>125</v>
      </c>
      <c r="AF38">
        <v>10</v>
      </c>
      <c r="AG38" t="str">
        <f t="shared" si="7"/>
        <v>BSA-010 5° Skew Variable Width Abutment 25% Skewed Wings</v>
      </c>
    </row>
    <row r="39" spans="13:33" x14ac:dyDescent="0.25">
      <c r="M39" t="s">
        <v>117</v>
      </c>
      <c r="N39">
        <v>6</v>
      </c>
      <c r="O39" t="str">
        <f t="shared" si="0"/>
        <v>15_50_6</v>
      </c>
      <c r="P39">
        <v>21.68</v>
      </c>
      <c r="Q39">
        <v>0.78</v>
      </c>
      <c r="R39">
        <v>1864</v>
      </c>
      <c r="S39">
        <v>52.8</v>
      </c>
      <c r="T39">
        <f t="shared" si="1"/>
        <v>1.0349999999999999</v>
      </c>
      <c r="U39">
        <f t="shared" si="2"/>
        <v>41.055199999999999</v>
      </c>
      <c r="V39">
        <f t="shared" si="3"/>
        <v>3175.5519999999997</v>
      </c>
      <c r="W39" s="58" t="str">
        <f t="shared" si="4"/>
        <v>15° Skew Variable Width Abutment 50% Skewed Wings</v>
      </c>
      <c r="AE39" t="s">
        <v>114</v>
      </c>
      <c r="AF39">
        <v>12</v>
      </c>
      <c r="AG39" t="str">
        <f t="shared" si="7"/>
        <v>BSA-012 5° Skew Variable Width Abutment 50% Skewed Wings</v>
      </c>
    </row>
    <row r="40" spans="13:33" x14ac:dyDescent="0.25">
      <c r="M40" t="s">
        <v>117</v>
      </c>
      <c r="N40">
        <v>7</v>
      </c>
      <c r="O40" t="str">
        <f t="shared" si="0"/>
        <v>15_50_7</v>
      </c>
      <c r="P40">
        <v>29.34</v>
      </c>
      <c r="Q40">
        <v>0.93</v>
      </c>
      <c r="R40">
        <v>2687</v>
      </c>
      <c r="S40">
        <v>68.7</v>
      </c>
      <c r="T40">
        <f t="shared" si="1"/>
        <v>1.0349999999999999</v>
      </c>
      <c r="U40">
        <f t="shared" si="2"/>
        <v>52.441199999999995</v>
      </c>
      <c r="V40">
        <f t="shared" si="3"/>
        <v>4393.5079999999998</v>
      </c>
      <c r="W40" s="58" t="str">
        <f t="shared" si="4"/>
        <v>15° Skew Variable Width Abutment 50% Skewed Wings</v>
      </c>
      <c r="AE40" t="s">
        <v>136</v>
      </c>
      <c r="AF40">
        <v>14</v>
      </c>
      <c r="AG40" t="str">
        <f t="shared" si="7"/>
        <v>BSA-014 10° Skew Variable Width Abutment 00% Skewed Wings</v>
      </c>
    </row>
    <row r="41" spans="13:33" x14ac:dyDescent="0.25">
      <c r="M41" t="s">
        <v>117</v>
      </c>
      <c r="N41">
        <v>8</v>
      </c>
      <c r="O41" t="str">
        <f t="shared" si="0"/>
        <v>15_50_8</v>
      </c>
      <c r="P41">
        <v>31.41</v>
      </c>
      <c r="Q41">
        <v>1.01</v>
      </c>
      <c r="R41">
        <v>2687</v>
      </c>
      <c r="S41">
        <v>68.7</v>
      </c>
      <c r="T41">
        <f t="shared" si="1"/>
        <v>1.0349999999999999</v>
      </c>
      <c r="U41">
        <f t="shared" si="2"/>
        <v>56.498400000000004</v>
      </c>
      <c r="V41">
        <f t="shared" si="3"/>
        <v>4393.5079999999998</v>
      </c>
      <c r="W41" s="58" t="str">
        <f t="shared" si="4"/>
        <v>15° Skew Variable Width Abutment 50% Skewed Wings</v>
      </c>
      <c r="AE41" t="s">
        <v>126</v>
      </c>
      <c r="AF41">
        <v>16</v>
      </c>
      <c r="AG41" t="str">
        <f t="shared" si="7"/>
        <v>BSA-016 10° Skew Variable Width Abutment 25% Skewed Wings</v>
      </c>
    </row>
    <row r="42" spans="13:33" x14ac:dyDescent="0.25">
      <c r="M42" t="s">
        <v>117</v>
      </c>
      <c r="N42">
        <v>9</v>
      </c>
      <c r="O42" t="str">
        <f t="shared" si="0"/>
        <v>15_50_9</v>
      </c>
      <c r="P42">
        <v>44.31</v>
      </c>
      <c r="Q42">
        <v>1.19</v>
      </c>
      <c r="R42">
        <v>4139</v>
      </c>
      <c r="S42">
        <v>91</v>
      </c>
      <c r="T42">
        <f t="shared" si="1"/>
        <v>1.0349999999999999</v>
      </c>
      <c r="U42">
        <f t="shared" si="2"/>
        <v>73.869599999999991</v>
      </c>
      <c r="V42">
        <f t="shared" si="3"/>
        <v>6399.44</v>
      </c>
      <c r="W42" s="58" t="str">
        <f t="shared" si="4"/>
        <v>15° Skew Variable Width Abutment 50% Skewed Wings</v>
      </c>
      <c r="AE42" t="s">
        <v>115</v>
      </c>
      <c r="AF42">
        <v>18</v>
      </c>
      <c r="AG42" t="str">
        <f t="shared" si="7"/>
        <v>BSA-018 10° Skew Variable Width Abutment 50% Skewed Wings</v>
      </c>
    </row>
    <row r="43" spans="13:33" x14ac:dyDescent="0.25">
      <c r="M43" t="s">
        <v>117</v>
      </c>
      <c r="N43">
        <v>10</v>
      </c>
      <c r="O43" t="str">
        <f t="shared" si="0"/>
        <v>15_50_10</v>
      </c>
      <c r="P43">
        <v>46.83</v>
      </c>
      <c r="Q43">
        <v>1.27</v>
      </c>
      <c r="R43">
        <v>4139</v>
      </c>
      <c r="S43">
        <v>91</v>
      </c>
      <c r="T43">
        <f t="shared" si="1"/>
        <v>1.0349999999999999</v>
      </c>
      <c r="U43">
        <f t="shared" si="2"/>
        <v>78.376800000000003</v>
      </c>
      <c r="V43">
        <f t="shared" si="3"/>
        <v>6399.44</v>
      </c>
      <c r="W43" s="58" t="str">
        <f t="shared" si="4"/>
        <v>15° Skew Variable Width Abutment 50% Skewed Wings</v>
      </c>
      <c r="AE43" t="s">
        <v>137</v>
      </c>
      <c r="AF43">
        <v>20</v>
      </c>
      <c r="AG43" t="str">
        <f t="shared" si="7"/>
        <v>BSA-020 15° Skew Variable Width Abutment 00% Skewed Wings</v>
      </c>
    </row>
    <row r="44" spans="13:33" x14ac:dyDescent="0.25">
      <c r="M44" t="s">
        <v>117</v>
      </c>
      <c r="N44">
        <v>11</v>
      </c>
      <c r="O44" t="str">
        <f t="shared" si="0"/>
        <v>15_50_11</v>
      </c>
      <c r="P44">
        <v>60.91</v>
      </c>
      <c r="Q44">
        <v>1.41</v>
      </c>
      <c r="R44">
        <v>6133</v>
      </c>
      <c r="S44">
        <v>120.4</v>
      </c>
      <c r="T44">
        <f t="shared" si="1"/>
        <v>1.0349999999999999</v>
      </c>
      <c r="U44">
        <f t="shared" si="2"/>
        <v>95.934399999999982</v>
      </c>
      <c r="V44">
        <f t="shared" si="3"/>
        <v>9123.7360000000008</v>
      </c>
      <c r="W44" s="58" t="str">
        <f t="shared" si="4"/>
        <v>15° Skew Variable Width Abutment 50% Skewed Wings</v>
      </c>
      <c r="AE44" t="s">
        <v>127</v>
      </c>
      <c r="AF44">
        <v>22</v>
      </c>
      <c r="AG44" t="str">
        <f t="shared" si="7"/>
        <v>BSA-022 15° Skew Variable Width Abutment 25% Skewed Wings</v>
      </c>
    </row>
    <row r="45" spans="13:33" x14ac:dyDescent="0.25">
      <c r="M45" t="s">
        <v>117</v>
      </c>
      <c r="N45">
        <v>12</v>
      </c>
      <c r="O45" t="str">
        <f t="shared" si="0"/>
        <v>15_50_12</v>
      </c>
      <c r="P45">
        <v>63.87</v>
      </c>
      <c r="Q45">
        <v>1.49</v>
      </c>
      <c r="R45">
        <v>6133</v>
      </c>
      <c r="S45">
        <v>120.4</v>
      </c>
      <c r="T45">
        <f t="shared" si="1"/>
        <v>1.0349999999999999</v>
      </c>
      <c r="U45">
        <f t="shared" si="2"/>
        <v>100.88159999999999</v>
      </c>
      <c r="V45">
        <f t="shared" si="3"/>
        <v>9123.7360000000008</v>
      </c>
      <c r="W45" s="58" t="str">
        <f t="shared" si="4"/>
        <v>15° Skew Variable Width Abutment 50% Skewed Wings</v>
      </c>
      <c r="AE45" t="s">
        <v>117</v>
      </c>
      <c r="AF45">
        <v>24</v>
      </c>
      <c r="AG45" t="str">
        <f t="shared" si="7"/>
        <v>BSA-024 15° Skew Variable Width Abutment 50% Skewed Wings</v>
      </c>
    </row>
    <row r="46" spans="13:33" x14ac:dyDescent="0.25">
      <c r="M46" t="s">
        <v>117</v>
      </c>
      <c r="N46">
        <v>13</v>
      </c>
      <c r="O46" t="str">
        <f t="shared" si="0"/>
        <v>15_50_13</v>
      </c>
      <c r="P46">
        <v>78.45</v>
      </c>
      <c r="Q46">
        <v>1.64</v>
      </c>
      <c r="R46">
        <v>8909</v>
      </c>
      <c r="S46">
        <v>161</v>
      </c>
      <c r="T46">
        <f t="shared" si="1"/>
        <v>1.0349999999999999</v>
      </c>
      <c r="U46">
        <f t="shared" si="2"/>
        <v>119.1876</v>
      </c>
      <c r="V46">
        <f t="shared" si="3"/>
        <v>12908.24</v>
      </c>
      <c r="W46" s="58" t="str">
        <f t="shared" si="4"/>
        <v>15° Skew Variable Width Abutment 50% Skewed Wings</v>
      </c>
      <c r="AE46" t="s">
        <v>138</v>
      </c>
      <c r="AF46">
        <v>26</v>
      </c>
      <c r="AG46" t="str">
        <f t="shared" si="7"/>
        <v>BSA-026 20° Skew Variable Width Abutment 00% Skewed Wings</v>
      </c>
    </row>
    <row r="47" spans="13:33" x14ac:dyDescent="0.25">
      <c r="M47" t="s">
        <v>117</v>
      </c>
      <c r="N47">
        <v>14</v>
      </c>
      <c r="O47" t="str">
        <f t="shared" si="0"/>
        <v>15_50_14</v>
      </c>
      <c r="P47">
        <v>81.78</v>
      </c>
      <c r="Q47">
        <v>1.71</v>
      </c>
      <c r="R47">
        <v>8909</v>
      </c>
      <c r="S47">
        <v>161</v>
      </c>
      <c r="T47">
        <f t="shared" si="1"/>
        <v>1.0349999999999999</v>
      </c>
      <c r="U47">
        <f t="shared" si="2"/>
        <v>124.2564</v>
      </c>
      <c r="V47">
        <f t="shared" si="3"/>
        <v>12908.24</v>
      </c>
      <c r="W47" s="58" t="str">
        <f t="shared" si="4"/>
        <v>15° Skew Variable Width Abutment 50% Skewed Wings</v>
      </c>
      <c r="AE47" t="s">
        <v>128</v>
      </c>
      <c r="AF47">
        <v>28</v>
      </c>
      <c r="AG47" t="str">
        <f t="shared" si="7"/>
        <v>BSA-028 20° Skew Variable Width Abutment 25% Skewed Wings</v>
      </c>
    </row>
    <row r="48" spans="13:33" x14ac:dyDescent="0.25">
      <c r="M48" t="s">
        <v>117</v>
      </c>
      <c r="N48">
        <v>15</v>
      </c>
      <c r="O48" t="str">
        <f t="shared" si="0"/>
        <v>15_50_15</v>
      </c>
      <c r="P48">
        <v>98.21</v>
      </c>
      <c r="Q48">
        <v>1.86</v>
      </c>
      <c r="R48">
        <v>11949</v>
      </c>
      <c r="S48">
        <v>198.6</v>
      </c>
      <c r="T48">
        <f t="shared" si="1"/>
        <v>1.0349999999999999</v>
      </c>
      <c r="U48">
        <f t="shared" si="2"/>
        <v>144.41239999999999</v>
      </c>
      <c r="V48">
        <f t="shared" si="3"/>
        <v>16882.223999999998</v>
      </c>
      <c r="W48" s="58" t="str">
        <f t="shared" si="4"/>
        <v>15° Skew Variable Width Abutment 50% Skewed Wings</v>
      </c>
      <c r="AE48" t="s">
        <v>118</v>
      </c>
      <c r="AF48">
        <v>30</v>
      </c>
      <c r="AG48" t="str">
        <f t="shared" si="7"/>
        <v>BSA-030 20° Skew Variable Width Abutment 50% Skewed Wings</v>
      </c>
    </row>
    <row r="49" spans="13:33" x14ac:dyDescent="0.25">
      <c r="M49" t="s">
        <v>117</v>
      </c>
      <c r="N49">
        <v>16</v>
      </c>
      <c r="O49" t="str">
        <f t="shared" si="0"/>
        <v>15_50_16</v>
      </c>
      <c r="P49">
        <v>101.91</v>
      </c>
      <c r="Q49">
        <v>1.93</v>
      </c>
      <c r="R49">
        <v>11949</v>
      </c>
      <c r="S49">
        <v>198.6</v>
      </c>
      <c r="T49">
        <f t="shared" si="1"/>
        <v>1.0349999999999999</v>
      </c>
      <c r="U49">
        <f t="shared" si="2"/>
        <v>149.85120000000001</v>
      </c>
      <c r="V49">
        <f t="shared" si="3"/>
        <v>16882.223999999998</v>
      </c>
      <c r="W49" s="58" t="str">
        <f t="shared" si="4"/>
        <v>15° Skew Variable Width Abutment 50% Skewed Wings</v>
      </c>
      <c r="AE49" t="s">
        <v>139</v>
      </c>
      <c r="AF49">
        <v>32</v>
      </c>
      <c r="AG49" t="str">
        <f t="shared" si="7"/>
        <v>BSA-032 25° Skew Variable Width Abutment 00% Skewed Wings</v>
      </c>
    </row>
    <row r="50" spans="13:33" x14ac:dyDescent="0.25">
      <c r="M50" t="s">
        <v>118</v>
      </c>
      <c r="N50">
        <v>5</v>
      </c>
      <c r="O50" t="str">
        <f t="shared" si="0"/>
        <v>20_50_5</v>
      </c>
      <c r="P50">
        <v>19.260000000000002</v>
      </c>
      <c r="Q50">
        <v>0.71</v>
      </c>
      <c r="R50">
        <v>1802</v>
      </c>
      <c r="S50">
        <v>52.8</v>
      </c>
      <c r="T50">
        <f t="shared" si="1"/>
        <v>1.0640000000000001</v>
      </c>
      <c r="U50">
        <f t="shared" si="2"/>
        <v>37.390560000000001</v>
      </c>
      <c r="V50">
        <f t="shared" si="3"/>
        <v>3150.3008</v>
      </c>
      <c r="W50" s="58" t="str">
        <f t="shared" si="4"/>
        <v>20° Skew Variable Width Abutment 50% Skewed Wings</v>
      </c>
      <c r="AE50" t="s">
        <v>129</v>
      </c>
      <c r="AF50">
        <v>34</v>
      </c>
      <c r="AG50" t="str">
        <f t="shared" si="7"/>
        <v>BSA-034 25° Skew Variable Width Abutment 25% Skewed Wings</v>
      </c>
    </row>
    <row r="51" spans="13:33" x14ac:dyDescent="0.25">
      <c r="M51" t="s">
        <v>118</v>
      </c>
      <c r="N51">
        <v>6</v>
      </c>
      <c r="O51" t="str">
        <f t="shared" si="0"/>
        <v>20_50_6</v>
      </c>
      <c r="P51">
        <v>20.97</v>
      </c>
      <c r="Q51">
        <v>0.78</v>
      </c>
      <c r="R51">
        <v>1802</v>
      </c>
      <c r="S51">
        <v>52.8</v>
      </c>
      <c r="T51">
        <f t="shared" si="1"/>
        <v>1.0640000000000001</v>
      </c>
      <c r="U51">
        <f t="shared" si="2"/>
        <v>40.888080000000002</v>
      </c>
      <c r="V51">
        <f t="shared" si="3"/>
        <v>3150.3008</v>
      </c>
      <c r="W51" s="58" t="str">
        <f t="shared" si="4"/>
        <v>20° Skew Variable Width Abutment 50% Skewed Wings</v>
      </c>
      <c r="AE51" t="s">
        <v>119</v>
      </c>
      <c r="AF51">
        <v>36</v>
      </c>
      <c r="AG51" t="str">
        <f t="shared" si="7"/>
        <v>BSA-036 25° Skew Variable Width Abutment 50% Skewed Wings</v>
      </c>
    </row>
    <row r="52" spans="13:33" x14ac:dyDescent="0.25">
      <c r="M52" t="s">
        <v>118</v>
      </c>
      <c r="N52">
        <v>7</v>
      </c>
      <c r="O52" t="str">
        <f t="shared" si="0"/>
        <v>20_50_7</v>
      </c>
      <c r="P52">
        <v>29.54</v>
      </c>
      <c r="Q52">
        <v>0.93</v>
      </c>
      <c r="R52">
        <v>2692</v>
      </c>
      <c r="S52">
        <v>68.7</v>
      </c>
      <c r="T52">
        <f t="shared" si="1"/>
        <v>1.0640000000000001</v>
      </c>
      <c r="U52">
        <f t="shared" si="2"/>
        <v>53.28848</v>
      </c>
      <c r="V52">
        <f t="shared" si="3"/>
        <v>4446.3232000000007</v>
      </c>
      <c r="W52" s="58" t="str">
        <f t="shared" si="4"/>
        <v>20° Skew Variable Width Abutment 50% Skewed Wings</v>
      </c>
      <c r="AE52" t="s">
        <v>140</v>
      </c>
      <c r="AF52">
        <v>38</v>
      </c>
      <c r="AG52" t="str">
        <f t="shared" si="7"/>
        <v>BSA-038 30° Skew Variable Width Abutment 00% Skewed Wings</v>
      </c>
    </row>
    <row r="53" spans="13:33" x14ac:dyDescent="0.25">
      <c r="M53" t="s">
        <v>118</v>
      </c>
      <c r="N53">
        <v>8</v>
      </c>
      <c r="O53" t="str">
        <f t="shared" si="0"/>
        <v>20_50_8</v>
      </c>
      <c r="P53">
        <v>31.63</v>
      </c>
      <c r="Q53">
        <v>1.01</v>
      </c>
      <c r="R53">
        <v>2692</v>
      </c>
      <c r="S53">
        <v>68.7</v>
      </c>
      <c r="T53">
        <f t="shared" si="1"/>
        <v>1.0640000000000001</v>
      </c>
      <c r="U53">
        <f t="shared" si="2"/>
        <v>57.421360000000007</v>
      </c>
      <c r="V53">
        <f t="shared" si="3"/>
        <v>4446.3232000000007</v>
      </c>
      <c r="W53" s="58" t="str">
        <f t="shared" si="4"/>
        <v>20° Skew Variable Width Abutment 50% Skewed Wings</v>
      </c>
      <c r="AE53" t="s">
        <v>130</v>
      </c>
      <c r="AF53">
        <v>40</v>
      </c>
      <c r="AG53" t="str">
        <f t="shared" si="7"/>
        <v>BSA-040 30° Skew Variable Width Abutment 25% Skewed Wings</v>
      </c>
    </row>
    <row r="54" spans="13:33" x14ac:dyDescent="0.25">
      <c r="M54" t="s">
        <v>118</v>
      </c>
      <c r="N54">
        <v>9</v>
      </c>
      <c r="O54" t="str">
        <f t="shared" si="0"/>
        <v>20_50_9</v>
      </c>
      <c r="P54">
        <v>45.85</v>
      </c>
      <c r="Q54">
        <v>1.19</v>
      </c>
      <c r="R54">
        <v>4226</v>
      </c>
      <c r="S54">
        <v>91</v>
      </c>
      <c r="T54">
        <f t="shared" si="1"/>
        <v>1.0640000000000001</v>
      </c>
      <c r="U54">
        <f t="shared" si="2"/>
        <v>76.237840000000006</v>
      </c>
      <c r="V54">
        <f t="shared" si="3"/>
        <v>6549.7759999999998</v>
      </c>
      <c r="W54" s="58" t="str">
        <f t="shared" si="4"/>
        <v>20° Skew Variable Width Abutment 50% Skewed Wings</v>
      </c>
      <c r="AE54" t="s">
        <v>120</v>
      </c>
      <c r="AF54">
        <v>42</v>
      </c>
      <c r="AG54" t="str">
        <f t="shared" si="7"/>
        <v>BSA-042 30° Skew Variable Width Abutment 50% Skewed Wings</v>
      </c>
    </row>
    <row r="55" spans="13:33" x14ac:dyDescent="0.25">
      <c r="M55" t="s">
        <v>118</v>
      </c>
      <c r="N55">
        <v>10</v>
      </c>
      <c r="O55" t="str">
        <f t="shared" si="0"/>
        <v>20_50_10</v>
      </c>
      <c r="P55">
        <v>48.45</v>
      </c>
      <c r="Q55">
        <v>1.27</v>
      </c>
      <c r="R55">
        <v>4226</v>
      </c>
      <c r="S55">
        <v>91</v>
      </c>
      <c r="T55">
        <f t="shared" si="1"/>
        <v>1.0640000000000001</v>
      </c>
      <c r="U55">
        <f t="shared" si="2"/>
        <v>80.880719999999997</v>
      </c>
      <c r="V55">
        <f t="shared" si="3"/>
        <v>6549.7759999999998</v>
      </c>
      <c r="W55" s="58" t="str">
        <f t="shared" si="4"/>
        <v>20° Skew Variable Width Abutment 50% Skewed Wings</v>
      </c>
      <c r="AE55" t="s">
        <v>141</v>
      </c>
      <c r="AF55">
        <v>44</v>
      </c>
      <c r="AG55" t="str">
        <f t="shared" si="7"/>
        <v>BSA-044 35° Skew Variable Width Abutment 00% Skewed Wings</v>
      </c>
    </row>
    <row r="56" spans="13:33" x14ac:dyDescent="0.25">
      <c r="M56" t="s">
        <v>118</v>
      </c>
      <c r="N56">
        <v>11</v>
      </c>
      <c r="O56" t="str">
        <f t="shared" si="0"/>
        <v>20_50_11</v>
      </c>
      <c r="P56">
        <v>61.2</v>
      </c>
      <c r="Q56">
        <v>1.41</v>
      </c>
      <c r="R56">
        <v>6144</v>
      </c>
      <c r="S56">
        <v>120.4</v>
      </c>
      <c r="T56">
        <f t="shared" si="1"/>
        <v>1.0640000000000001</v>
      </c>
      <c r="U56">
        <f t="shared" si="2"/>
        <v>97.205759999999998</v>
      </c>
      <c r="V56">
        <f t="shared" si="3"/>
        <v>9218.5344000000005</v>
      </c>
      <c r="W56" s="58" t="str">
        <f t="shared" si="4"/>
        <v>20° Skew Variable Width Abutment 50% Skewed Wings</v>
      </c>
      <c r="AE56" t="s">
        <v>131</v>
      </c>
      <c r="AF56">
        <v>46</v>
      </c>
      <c r="AG56" t="str">
        <f t="shared" si="7"/>
        <v>BSA-046 35° Skew Variable Width Abutment 25% Skewed Wings</v>
      </c>
    </row>
    <row r="57" spans="13:33" x14ac:dyDescent="0.25">
      <c r="M57" t="s">
        <v>118</v>
      </c>
      <c r="N57">
        <v>12</v>
      </c>
      <c r="O57" t="str">
        <f t="shared" si="0"/>
        <v>20_50_12</v>
      </c>
      <c r="P57">
        <v>64.180000000000007</v>
      </c>
      <c r="Q57">
        <v>1.49</v>
      </c>
      <c r="R57">
        <v>6144</v>
      </c>
      <c r="S57">
        <v>120.4</v>
      </c>
      <c r="T57">
        <f t="shared" si="1"/>
        <v>1.0640000000000001</v>
      </c>
      <c r="U57">
        <f t="shared" si="2"/>
        <v>102.22864000000001</v>
      </c>
      <c r="V57">
        <f t="shared" si="3"/>
        <v>9218.5344000000005</v>
      </c>
      <c r="W57" s="58" t="str">
        <f t="shared" si="4"/>
        <v>20° Skew Variable Width Abutment 50% Skewed Wings</v>
      </c>
      <c r="AE57" t="s">
        <v>121</v>
      </c>
      <c r="AF57">
        <v>48</v>
      </c>
      <c r="AG57" t="str">
        <f t="shared" si="7"/>
        <v>BSA-048 35° Skew Variable Width Abutment 50% Skewed Wings</v>
      </c>
    </row>
    <row r="58" spans="13:33" x14ac:dyDescent="0.25">
      <c r="M58" t="s">
        <v>118</v>
      </c>
      <c r="N58">
        <v>13</v>
      </c>
      <c r="O58" t="str">
        <f t="shared" si="0"/>
        <v>20_50_13</v>
      </c>
      <c r="P58">
        <v>78.78</v>
      </c>
      <c r="Q58">
        <v>1.64</v>
      </c>
      <c r="R58">
        <v>8921</v>
      </c>
      <c r="S58">
        <v>161</v>
      </c>
      <c r="T58">
        <f t="shared" si="1"/>
        <v>1.0640000000000001</v>
      </c>
      <c r="U58">
        <f t="shared" si="2"/>
        <v>120.65904</v>
      </c>
      <c r="V58">
        <f t="shared" si="3"/>
        <v>13032.296</v>
      </c>
      <c r="W58" s="58" t="str">
        <f t="shared" si="4"/>
        <v>20° Skew Variable Width Abutment 50% Skewed Wings</v>
      </c>
      <c r="AE58" t="s">
        <v>142</v>
      </c>
      <c r="AF58">
        <v>50</v>
      </c>
      <c r="AG58" t="str">
        <f t="shared" si="7"/>
        <v>BSA-050 40° Skew Variable Width Abutment 00% Skewed Wings</v>
      </c>
    </row>
    <row r="59" spans="13:33" x14ac:dyDescent="0.25">
      <c r="M59" t="s">
        <v>118</v>
      </c>
      <c r="N59">
        <v>14</v>
      </c>
      <c r="O59" t="str">
        <f t="shared" si="0"/>
        <v>20_50_14</v>
      </c>
      <c r="P59">
        <v>82.13</v>
      </c>
      <c r="Q59">
        <v>1.71</v>
      </c>
      <c r="R59">
        <v>8921</v>
      </c>
      <c r="S59">
        <v>161</v>
      </c>
      <c r="T59">
        <f t="shared" si="1"/>
        <v>1.0640000000000001</v>
      </c>
      <c r="U59">
        <f t="shared" si="2"/>
        <v>125.79656</v>
      </c>
      <c r="V59">
        <f t="shared" si="3"/>
        <v>13032.296</v>
      </c>
      <c r="W59" s="58" t="str">
        <f t="shared" si="4"/>
        <v>20° Skew Variable Width Abutment 50% Skewed Wings</v>
      </c>
      <c r="AE59" t="s">
        <v>132</v>
      </c>
      <c r="AF59">
        <v>52</v>
      </c>
      <c r="AG59" t="str">
        <f t="shared" si="7"/>
        <v>BSA-052 40° Skew Variable Width Abutment 25% Skewed Wings</v>
      </c>
    </row>
    <row r="60" spans="13:33" x14ac:dyDescent="0.25">
      <c r="M60" t="s">
        <v>118</v>
      </c>
      <c r="N60">
        <v>15</v>
      </c>
      <c r="O60" t="str">
        <f t="shared" si="0"/>
        <v>20_50_15</v>
      </c>
      <c r="P60">
        <v>102.49</v>
      </c>
      <c r="Q60">
        <v>1.86</v>
      </c>
      <c r="R60">
        <v>12387</v>
      </c>
      <c r="S60">
        <v>198.6</v>
      </c>
      <c r="T60">
        <f t="shared" si="1"/>
        <v>1.0640000000000001</v>
      </c>
      <c r="U60">
        <f t="shared" si="2"/>
        <v>149.98696000000001</v>
      </c>
      <c r="V60">
        <f t="shared" si="3"/>
        <v>17458.4496</v>
      </c>
      <c r="W60" s="58" t="str">
        <f t="shared" si="4"/>
        <v>20° Skew Variable Width Abutment 50% Skewed Wings</v>
      </c>
      <c r="AE60" t="s">
        <v>122</v>
      </c>
      <c r="AF60">
        <v>54</v>
      </c>
      <c r="AG60" t="str">
        <f t="shared" si="7"/>
        <v>BSA-054 40° Skew Variable Width Abutment 50% Skewed Wings</v>
      </c>
    </row>
    <row r="61" spans="13:33" x14ac:dyDescent="0.25">
      <c r="M61" t="s">
        <v>118</v>
      </c>
      <c r="N61">
        <v>16</v>
      </c>
      <c r="O61" t="str">
        <f t="shared" si="0"/>
        <v>20_50_16</v>
      </c>
      <c r="P61">
        <v>106.35</v>
      </c>
      <c r="Q61">
        <v>1.93</v>
      </c>
      <c r="R61">
        <v>12387</v>
      </c>
      <c r="S61">
        <v>198.6</v>
      </c>
      <c r="T61">
        <f t="shared" si="1"/>
        <v>1.0640000000000001</v>
      </c>
      <c r="U61">
        <f t="shared" si="2"/>
        <v>155.63448</v>
      </c>
      <c r="V61">
        <f t="shared" si="3"/>
        <v>17458.4496</v>
      </c>
      <c r="W61" s="58" t="str">
        <f t="shared" si="4"/>
        <v>20° Skew Variable Width Abutment 50% Skewed Wings</v>
      </c>
      <c r="AE61" t="s">
        <v>143</v>
      </c>
      <c r="AF61">
        <v>56</v>
      </c>
      <c r="AG61" t="str">
        <f t="shared" si="7"/>
        <v>BSA-056 45° Skew Variable Width Abutment 00% Skewed Wings</v>
      </c>
    </row>
    <row r="62" spans="13:33" x14ac:dyDescent="0.25">
      <c r="M62" t="s">
        <v>119</v>
      </c>
      <c r="N62">
        <v>5</v>
      </c>
      <c r="O62" t="str">
        <f t="shared" si="0"/>
        <v>25_50_5</v>
      </c>
      <c r="P62">
        <v>19.48</v>
      </c>
      <c r="Q62">
        <v>0.71</v>
      </c>
      <c r="R62">
        <v>1842</v>
      </c>
      <c r="S62">
        <v>52.8</v>
      </c>
      <c r="T62">
        <f t="shared" si="1"/>
        <v>1.103</v>
      </c>
      <c r="U62">
        <f t="shared" si="2"/>
        <v>38.275120000000001</v>
      </c>
      <c r="V62">
        <f t="shared" si="3"/>
        <v>3239.7215999999999</v>
      </c>
      <c r="W62" s="58" t="str">
        <f t="shared" si="4"/>
        <v>25° Skew Variable Width Abutment 50% Skewed Wings</v>
      </c>
      <c r="AE62" t="s">
        <v>133</v>
      </c>
      <c r="AF62">
        <v>58</v>
      </c>
      <c r="AG62" t="str">
        <f t="shared" si="7"/>
        <v>BSA-058 45° Skew Variable Width Abutment 25% Skewed Wings</v>
      </c>
    </row>
    <row r="63" spans="13:33" x14ac:dyDescent="0.25">
      <c r="M63" t="s">
        <v>119</v>
      </c>
      <c r="N63">
        <v>6</v>
      </c>
      <c r="O63" t="str">
        <f t="shared" si="0"/>
        <v>25_50_6</v>
      </c>
      <c r="P63">
        <v>21.21</v>
      </c>
      <c r="Q63">
        <v>0.78</v>
      </c>
      <c r="R63">
        <v>1842</v>
      </c>
      <c r="S63">
        <v>52.8</v>
      </c>
      <c r="T63">
        <f t="shared" si="1"/>
        <v>1.103</v>
      </c>
      <c r="U63">
        <f t="shared" si="2"/>
        <v>41.858159999999998</v>
      </c>
      <c r="V63">
        <f t="shared" si="3"/>
        <v>3239.7215999999999</v>
      </c>
      <c r="W63" s="58" t="str">
        <f t="shared" si="4"/>
        <v>25° Skew Variable Width Abutment 50% Skewed Wings</v>
      </c>
      <c r="AE63" t="s">
        <v>123</v>
      </c>
      <c r="AF63">
        <v>60</v>
      </c>
      <c r="AG63" t="str">
        <f t="shared" si="7"/>
        <v>BSA-060 45° Skew Variable Width Abutment 50% Skewed Wings</v>
      </c>
    </row>
    <row r="64" spans="13:33" x14ac:dyDescent="0.25">
      <c r="M64" t="s">
        <v>119</v>
      </c>
      <c r="N64">
        <v>7</v>
      </c>
      <c r="O64" t="str">
        <f t="shared" si="0"/>
        <v>25_50_7</v>
      </c>
      <c r="P64">
        <v>30.84</v>
      </c>
      <c r="Q64">
        <v>0.93</v>
      </c>
      <c r="R64">
        <v>2826</v>
      </c>
      <c r="S64">
        <v>68.7</v>
      </c>
      <c r="T64">
        <f t="shared" si="1"/>
        <v>1.103</v>
      </c>
      <c r="U64">
        <f t="shared" si="2"/>
        <v>55.458960000000005</v>
      </c>
      <c r="V64">
        <f t="shared" si="3"/>
        <v>4644.6264000000001</v>
      </c>
      <c r="W64" s="58" t="str">
        <f t="shared" si="4"/>
        <v>25° Skew Variable Width Abutment 50% Skewed Wings</v>
      </c>
    </row>
    <row r="65" spans="13:23" x14ac:dyDescent="0.25">
      <c r="M65" t="s">
        <v>119</v>
      </c>
      <c r="N65">
        <v>8</v>
      </c>
      <c r="O65" t="str">
        <f t="shared" si="0"/>
        <v>25_50_8</v>
      </c>
      <c r="P65">
        <v>33.020000000000003</v>
      </c>
      <c r="Q65">
        <v>1.01</v>
      </c>
      <c r="R65">
        <v>2826</v>
      </c>
      <c r="S65">
        <v>68.7</v>
      </c>
      <c r="T65">
        <f t="shared" si="1"/>
        <v>1.103</v>
      </c>
      <c r="U65">
        <f t="shared" si="2"/>
        <v>59.756720000000001</v>
      </c>
      <c r="V65">
        <f t="shared" si="3"/>
        <v>4644.6264000000001</v>
      </c>
      <c r="W65" s="58" t="str">
        <f t="shared" si="4"/>
        <v>25° Skew Variable Width Abutment 50% Skewed Wings</v>
      </c>
    </row>
    <row r="66" spans="13:23" x14ac:dyDescent="0.25">
      <c r="M66" t="s">
        <v>119</v>
      </c>
      <c r="N66">
        <v>9</v>
      </c>
      <c r="O66" t="str">
        <f t="shared" si="0"/>
        <v>25_50_9</v>
      </c>
      <c r="P66">
        <v>46.18</v>
      </c>
      <c r="Q66">
        <v>1.19</v>
      </c>
      <c r="R66">
        <v>4287</v>
      </c>
      <c r="S66">
        <v>91</v>
      </c>
      <c r="T66">
        <f t="shared" si="1"/>
        <v>1.103</v>
      </c>
      <c r="U66">
        <f t="shared" si="2"/>
        <v>77.68168</v>
      </c>
      <c r="V66">
        <f t="shared" si="3"/>
        <v>6695.9519999999993</v>
      </c>
      <c r="W66" s="58" t="str">
        <f t="shared" si="4"/>
        <v>25° Skew Variable Width Abutment 50% Skewed Wings</v>
      </c>
    </row>
    <row r="67" spans="13:23" x14ac:dyDescent="0.25">
      <c r="M67" t="s">
        <v>119</v>
      </c>
      <c r="N67">
        <v>10</v>
      </c>
      <c r="O67" t="str">
        <f t="shared" ref="O67:O130" si="8">CONCATENATE(M67,"_",N67)</f>
        <v>25_50_10</v>
      </c>
      <c r="P67">
        <v>48.81</v>
      </c>
      <c r="Q67">
        <v>1.27</v>
      </c>
      <c r="R67">
        <v>4287</v>
      </c>
      <c r="S67">
        <v>91</v>
      </c>
      <c r="T67">
        <f t="shared" ref="T67:T130" si="9">ROUND(1/COS(RADIANS(LEFT(M67,2)*1)),3)</f>
        <v>1.103</v>
      </c>
      <c r="U67">
        <f t="shared" ref="U67:U130" si="10">P67+Q67*B$3*T67</f>
        <v>82.42944</v>
      </c>
      <c r="V67">
        <f t="shared" ref="V67:V130" si="11">R67+S67*B$3*T67</f>
        <v>6695.9519999999993</v>
      </c>
      <c r="W67" s="58" t="str">
        <f t="shared" ref="W67:W130" si="12">CONCATENATE(LEFT(M67,2)*1,"° Skew Variable Width Abutment ",RIGHT(M67,2),"% Skewed Wings")</f>
        <v>25° Skew Variable Width Abutment 50% Skewed Wings</v>
      </c>
    </row>
    <row r="68" spans="13:23" x14ac:dyDescent="0.25">
      <c r="M68" t="s">
        <v>119</v>
      </c>
      <c r="N68">
        <v>11</v>
      </c>
      <c r="O68" t="str">
        <f t="shared" si="8"/>
        <v>25_50_11</v>
      </c>
      <c r="P68">
        <v>63.11</v>
      </c>
      <c r="Q68">
        <v>1.41</v>
      </c>
      <c r="R68">
        <v>6360</v>
      </c>
      <c r="S68">
        <v>120.4</v>
      </c>
      <c r="T68">
        <f t="shared" si="9"/>
        <v>1.103</v>
      </c>
      <c r="U68">
        <f t="shared" si="10"/>
        <v>100.43552</v>
      </c>
      <c r="V68">
        <f t="shared" si="11"/>
        <v>9547.2288000000008</v>
      </c>
      <c r="W68" s="58" t="str">
        <f t="shared" si="12"/>
        <v>25° Skew Variable Width Abutment 50% Skewed Wings</v>
      </c>
    </row>
    <row r="69" spans="13:23" x14ac:dyDescent="0.25">
      <c r="M69" t="s">
        <v>119</v>
      </c>
      <c r="N69">
        <v>12</v>
      </c>
      <c r="O69" t="str">
        <f t="shared" si="8"/>
        <v>25_50_12</v>
      </c>
      <c r="P69">
        <v>66.17</v>
      </c>
      <c r="Q69">
        <v>1.49</v>
      </c>
      <c r="R69">
        <v>6360</v>
      </c>
      <c r="S69">
        <v>120.4</v>
      </c>
      <c r="T69">
        <f t="shared" si="9"/>
        <v>1.103</v>
      </c>
      <c r="U69">
        <f t="shared" si="10"/>
        <v>105.61328</v>
      </c>
      <c r="V69">
        <f t="shared" si="11"/>
        <v>9547.2288000000008</v>
      </c>
      <c r="W69" s="58" t="str">
        <f t="shared" si="12"/>
        <v>25° Skew Variable Width Abutment 50% Skewed Wings</v>
      </c>
    </row>
    <row r="70" spans="13:23" x14ac:dyDescent="0.25">
      <c r="M70" t="s">
        <v>119</v>
      </c>
      <c r="N70">
        <v>13</v>
      </c>
      <c r="O70" t="str">
        <f t="shared" si="8"/>
        <v>25_50_13</v>
      </c>
      <c r="P70">
        <v>82.69</v>
      </c>
      <c r="Q70">
        <v>1.64</v>
      </c>
      <c r="R70">
        <v>9375</v>
      </c>
      <c r="S70">
        <v>161</v>
      </c>
      <c r="T70">
        <f t="shared" si="9"/>
        <v>1.103</v>
      </c>
      <c r="U70">
        <f t="shared" si="10"/>
        <v>126.10408</v>
      </c>
      <c r="V70">
        <f t="shared" si="11"/>
        <v>13636.992</v>
      </c>
      <c r="W70" s="58" t="str">
        <f t="shared" si="12"/>
        <v>25° Skew Variable Width Abutment 50% Skewed Wings</v>
      </c>
    </row>
    <row r="71" spans="13:23" x14ac:dyDescent="0.25">
      <c r="M71" t="s">
        <v>119</v>
      </c>
      <c r="N71">
        <v>14</v>
      </c>
      <c r="O71" t="str">
        <f t="shared" si="8"/>
        <v>25_50_14</v>
      </c>
      <c r="P71">
        <v>96.2</v>
      </c>
      <c r="Q71">
        <v>1.71</v>
      </c>
      <c r="R71">
        <v>9375</v>
      </c>
      <c r="S71">
        <v>161</v>
      </c>
      <c r="T71">
        <f t="shared" si="9"/>
        <v>1.103</v>
      </c>
      <c r="U71">
        <f t="shared" si="10"/>
        <v>141.46711999999999</v>
      </c>
      <c r="V71">
        <f t="shared" si="11"/>
        <v>13636.992</v>
      </c>
      <c r="W71" s="58" t="str">
        <f t="shared" si="12"/>
        <v>25° Skew Variable Width Abutment 50% Skewed Wings</v>
      </c>
    </row>
    <row r="72" spans="13:23" x14ac:dyDescent="0.25">
      <c r="M72" t="s">
        <v>119</v>
      </c>
      <c r="N72">
        <v>15</v>
      </c>
      <c r="O72" t="str">
        <f t="shared" si="8"/>
        <v>25_50_15</v>
      </c>
      <c r="P72">
        <v>102.99</v>
      </c>
      <c r="Q72">
        <v>1.86</v>
      </c>
      <c r="R72">
        <v>12507</v>
      </c>
      <c r="S72">
        <v>198.6</v>
      </c>
      <c r="T72">
        <f t="shared" si="9"/>
        <v>1.103</v>
      </c>
      <c r="U72">
        <f t="shared" si="10"/>
        <v>152.22791999999998</v>
      </c>
      <c r="V72">
        <f t="shared" si="11"/>
        <v>17764.339199999999</v>
      </c>
      <c r="W72" s="58" t="str">
        <f t="shared" si="12"/>
        <v>25° Skew Variable Width Abutment 50% Skewed Wings</v>
      </c>
    </row>
    <row r="73" spans="13:23" x14ac:dyDescent="0.25">
      <c r="M73" t="s">
        <v>119</v>
      </c>
      <c r="N73">
        <v>16</v>
      </c>
      <c r="O73" t="str">
        <f t="shared" si="8"/>
        <v>25_50_16</v>
      </c>
      <c r="P73">
        <v>106.87</v>
      </c>
      <c r="Q73">
        <v>1.93</v>
      </c>
      <c r="R73">
        <v>12507</v>
      </c>
      <c r="S73">
        <v>198.6</v>
      </c>
      <c r="T73">
        <f t="shared" si="9"/>
        <v>1.103</v>
      </c>
      <c r="U73">
        <f t="shared" si="10"/>
        <v>157.96096</v>
      </c>
      <c r="V73">
        <f t="shared" si="11"/>
        <v>17764.339199999999</v>
      </c>
      <c r="W73" s="58" t="str">
        <f t="shared" si="12"/>
        <v>25° Skew Variable Width Abutment 50% Skewed Wings</v>
      </c>
    </row>
    <row r="74" spans="13:23" x14ac:dyDescent="0.25">
      <c r="M74" t="s">
        <v>120</v>
      </c>
      <c r="N74">
        <v>5</v>
      </c>
      <c r="O74" t="str">
        <f t="shared" si="8"/>
        <v>30_50_5</v>
      </c>
      <c r="P74">
        <v>20.57</v>
      </c>
      <c r="Q74">
        <v>0.71</v>
      </c>
      <c r="R74">
        <v>1928</v>
      </c>
      <c r="S74">
        <v>52.8</v>
      </c>
      <c r="T74">
        <f t="shared" si="9"/>
        <v>1.155</v>
      </c>
      <c r="U74">
        <f t="shared" si="10"/>
        <v>40.251199999999997</v>
      </c>
      <c r="V74">
        <f t="shared" si="11"/>
        <v>3391.616</v>
      </c>
      <c r="W74" s="58" t="str">
        <f t="shared" si="12"/>
        <v>30° Skew Variable Width Abutment 50% Skewed Wings</v>
      </c>
    </row>
    <row r="75" spans="13:23" x14ac:dyDescent="0.25">
      <c r="M75" t="s">
        <v>120</v>
      </c>
      <c r="N75">
        <v>6</v>
      </c>
      <c r="O75" t="str">
        <f t="shared" si="8"/>
        <v>30_50_6</v>
      </c>
      <c r="P75">
        <v>22.4</v>
      </c>
      <c r="Q75">
        <v>0.78</v>
      </c>
      <c r="R75">
        <v>1928</v>
      </c>
      <c r="S75">
        <v>52.8</v>
      </c>
      <c r="T75">
        <f t="shared" si="9"/>
        <v>1.155</v>
      </c>
      <c r="U75">
        <f t="shared" si="10"/>
        <v>44.021599999999999</v>
      </c>
      <c r="V75">
        <f t="shared" si="11"/>
        <v>3391.616</v>
      </c>
      <c r="W75" s="58" t="str">
        <f t="shared" si="12"/>
        <v>30° Skew Variable Width Abutment 50% Skewed Wings</v>
      </c>
    </row>
    <row r="76" spans="13:23" x14ac:dyDescent="0.25">
      <c r="M76" t="s">
        <v>120</v>
      </c>
      <c r="N76">
        <v>7</v>
      </c>
      <c r="O76" t="str">
        <f t="shared" si="8"/>
        <v>30_50_7</v>
      </c>
      <c r="P76">
        <v>31.2</v>
      </c>
      <c r="Q76">
        <v>0.93</v>
      </c>
      <c r="R76">
        <v>2849</v>
      </c>
      <c r="S76">
        <v>68.7</v>
      </c>
      <c r="T76">
        <f t="shared" si="9"/>
        <v>1.155</v>
      </c>
      <c r="U76">
        <f t="shared" si="10"/>
        <v>56.979600000000005</v>
      </c>
      <c r="V76">
        <f t="shared" si="11"/>
        <v>4753.3640000000005</v>
      </c>
      <c r="W76" s="58" t="str">
        <f t="shared" si="12"/>
        <v>30° Skew Variable Width Abutment 50% Skewed Wings</v>
      </c>
    </row>
    <row r="77" spans="13:23" x14ac:dyDescent="0.25">
      <c r="M77" t="s">
        <v>120</v>
      </c>
      <c r="N77">
        <v>8</v>
      </c>
      <c r="O77" t="str">
        <f t="shared" si="8"/>
        <v>30_50_8</v>
      </c>
      <c r="P77">
        <v>33.4</v>
      </c>
      <c r="Q77">
        <v>1.01</v>
      </c>
      <c r="R77">
        <v>2849</v>
      </c>
      <c r="S77">
        <v>68.7</v>
      </c>
      <c r="T77">
        <f t="shared" si="9"/>
        <v>1.155</v>
      </c>
      <c r="U77">
        <f t="shared" si="10"/>
        <v>61.397199999999998</v>
      </c>
      <c r="V77">
        <f t="shared" si="11"/>
        <v>4753.3640000000005</v>
      </c>
      <c r="W77" s="58" t="str">
        <f t="shared" si="12"/>
        <v>30° Skew Variable Width Abutment 50% Skewed Wings</v>
      </c>
    </row>
    <row r="78" spans="13:23" x14ac:dyDescent="0.25">
      <c r="M78" t="s">
        <v>120</v>
      </c>
      <c r="N78">
        <v>9</v>
      </c>
      <c r="O78" t="str">
        <f t="shared" si="8"/>
        <v>30_50_9</v>
      </c>
      <c r="P78">
        <v>47.91</v>
      </c>
      <c r="Q78">
        <v>1.19</v>
      </c>
      <c r="R78">
        <v>4426</v>
      </c>
      <c r="S78">
        <v>91</v>
      </c>
      <c r="T78">
        <f t="shared" si="9"/>
        <v>1.155</v>
      </c>
      <c r="U78">
        <f t="shared" si="10"/>
        <v>80.896799999999999</v>
      </c>
      <c r="V78">
        <f t="shared" si="11"/>
        <v>6948.52</v>
      </c>
      <c r="W78" s="58" t="str">
        <f t="shared" si="12"/>
        <v>30° Skew Variable Width Abutment 50% Skewed Wings</v>
      </c>
    </row>
    <row r="79" spans="13:23" x14ac:dyDescent="0.25">
      <c r="M79" t="s">
        <v>120</v>
      </c>
      <c r="N79">
        <v>10</v>
      </c>
      <c r="O79" t="str">
        <f t="shared" si="8"/>
        <v>30_50_10</v>
      </c>
      <c r="P79">
        <v>50.63</v>
      </c>
      <c r="Q79">
        <v>1.27</v>
      </c>
      <c r="R79">
        <v>4426</v>
      </c>
      <c r="S79">
        <v>91</v>
      </c>
      <c r="T79">
        <f t="shared" si="9"/>
        <v>1.155</v>
      </c>
      <c r="U79">
        <f t="shared" si="10"/>
        <v>85.834400000000002</v>
      </c>
      <c r="V79">
        <f t="shared" si="11"/>
        <v>6948.52</v>
      </c>
      <c r="W79" s="58" t="str">
        <f t="shared" si="12"/>
        <v>30° Skew Variable Width Abutment 50% Skewed Wings</v>
      </c>
    </row>
    <row r="80" spans="13:23" x14ac:dyDescent="0.25">
      <c r="M80" t="s">
        <v>120</v>
      </c>
      <c r="N80">
        <v>11</v>
      </c>
      <c r="O80" t="str">
        <f t="shared" si="8"/>
        <v>30_50_11</v>
      </c>
      <c r="P80">
        <v>63.62</v>
      </c>
      <c r="Q80">
        <v>1.41</v>
      </c>
      <c r="R80">
        <v>6401</v>
      </c>
      <c r="S80">
        <v>120.4</v>
      </c>
      <c r="T80">
        <f t="shared" si="9"/>
        <v>1.155</v>
      </c>
      <c r="U80">
        <f t="shared" si="10"/>
        <v>102.70519999999999</v>
      </c>
      <c r="V80">
        <f t="shared" si="11"/>
        <v>9738.4880000000012</v>
      </c>
      <c r="W80" s="58" t="str">
        <f t="shared" si="12"/>
        <v>30° Skew Variable Width Abutment 50% Skewed Wings</v>
      </c>
    </row>
    <row r="81" spans="13:23" x14ac:dyDescent="0.25">
      <c r="M81" t="s">
        <v>120</v>
      </c>
      <c r="N81">
        <v>12</v>
      </c>
      <c r="O81" t="str">
        <f t="shared" si="8"/>
        <v>30_50_12</v>
      </c>
      <c r="P81">
        <v>66.709999999999994</v>
      </c>
      <c r="Q81">
        <v>1.49</v>
      </c>
      <c r="R81">
        <v>6401</v>
      </c>
      <c r="S81">
        <v>120.4</v>
      </c>
      <c r="T81">
        <f t="shared" si="9"/>
        <v>1.155</v>
      </c>
      <c r="U81">
        <f t="shared" si="10"/>
        <v>108.0128</v>
      </c>
      <c r="V81">
        <f t="shared" si="11"/>
        <v>9738.4880000000012</v>
      </c>
      <c r="W81" s="58" t="str">
        <f t="shared" si="12"/>
        <v>30° Skew Variable Width Abutment 50% Skewed Wings</v>
      </c>
    </row>
    <row r="82" spans="13:23" x14ac:dyDescent="0.25">
      <c r="M82" t="s">
        <v>120</v>
      </c>
      <c r="N82">
        <v>13</v>
      </c>
      <c r="O82" t="str">
        <f t="shared" si="8"/>
        <v>30_50_13</v>
      </c>
      <c r="P82">
        <v>83.28</v>
      </c>
      <c r="Q82">
        <v>1.64</v>
      </c>
      <c r="R82">
        <v>9432</v>
      </c>
      <c r="S82">
        <v>161</v>
      </c>
      <c r="T82">
        <f t="shared" si="9"/>
        <v>1.155</v>
      </c>
      <c r="U82">
        <f t="shared" si="10"/>
        <v>128.74080000000001</v>
      </c>
      <c r="V82">
        <f t="shared" si="11"/>
        <v>13894.92</v>
      </c>
      <c r="W82" s="58" t="str">
        <f t="shared" si="12"/>
        <v>30° Skew Variable Width Abutment 50% Skewed Wings</v>
      </c>
    </row>
    <row r="83" spans="13:23" x14ac:dyDescent="0.25">
      <c r="M83" t="s">
        <v>120</v>
      </c>
      <c r="N83">
        <v>14</v>
      </c>
      <c r="O83" t="str">
        <f t="shared" si="8"/>
        <v>30_50_14</v>
      </c>
      <c r="P83">
        <v>86.81</v>
      </c>
      <c r="Q83">
        <v>1.71</v>
      </c>
      <c r="R83">
        <v>9432</v>
      </c>
      <c r="S83">
        <v>161</v>
      </c>
      <c r="T83">
        <f t="shared" si="9"/>
        <v>1.155</v>
      </c>
      <c r="U83">
        <f t="shared" si="10"/>
        <v>134.21120000000002</v>
      </c>
      <c r="V83">
        <f t="shared" si="11"/>
        <v>13894.92</v>
      </c>
      <c r="W83" s="58" t="str">
        <f t="shared" si="12"/>
        <v>30° Skew Variable Width Abutment 50% Skewed Wings</v>
      </c>
    </row>
    <row r="84" spans="13:23" x14ac:dyDescent="0.25">
      <c r="M84" t="s">
        <v>120</v>
      </c>
      <c r="N84">
        <v>15</v>
      </c>
      <c r="O84" t="str">
        <f t="shared" si="8"/>
        <v>30_50_15</v>
      </c>
      <c r="P84">
        <v>107.56</v>
      </c>
      <c r="Q84">
        <v>1.86</v>
      </c>
      <c r="R84">
        <v>13008</v>
      </c>
      <c r="S84">
        <v>198.6</v>
      </c>
      <c r="T84">
        <f t="shared" si="9"/>
        <v>1.155</v>
      </c>
      <c r="U84">
        <f t="shared" si="10"/>
        <v>159.11920000000001</v>
      </c>
      <c r="V84">
        <f t="shared" si="11"/>
        <v>18513.191999999999</v>
      </c>
      <c r="W84" s="58" t="str">
        <f t="shared" si="12"/>
        <v>30° Skew Variable Width Abutment 50% Skewed Wings</v>
      </c>
    </row>
    <row r="85" spans="13:23" x14ac:dyDescent="0.25">
      <c r="M85" t="s">
        <v>120</v>
      </c>
      <c r="N85">
        <v>16</v>
      </c>
      <c r="O85" t="str">
        <f t="shared" si="8"/>
        <v>30_50_16</v>
      </c>
      <c r="P85">
        <v>111.61</v>
      </c>
      <c r="Q85">
        <v>1.93</v>
      </c>
      <c r="R85">
        <v>13008</v>
      </c>
      <c r="S85">
        <v>198.6</v>
      </c>
      <c r="T85">
        <f t="shared" si="9"/>
        <v>1.155</v>
      </c>
      <c r="U85">
        <f t="shared" si="10"/>
        <v>165.1096</v>
      </c>
      <c r="V85">
        <f t="shared" si="11"/>
        <v>18513.191999999999</v>
      </c>
      <c r="W85" s="58" t="str">
        <f t="shared" si="12"/>
        <v>30° Skew Variable Width Abutment 50% Skewed Wings</v>
      </c>
    </row>
    <row r="86" spans="13:23" x14ac:dyDescent="0.25">
      <c r="M86" t="s">
        <v>121</v>
      </c>
      <c r="N86">
        <v>5</v>
      </c>
      <c r="O86" t="str">
        <f t="shared" si="8"/>
        <v>35_50_5</v>
      </c>
      <c r="P86">
        <v>21.74</v>
      </c>
      <c r="Q86">
        <v>0.71</v>
      </c>
      <c r="R86">
        <v>2032</v>
      </c>
      <c r="S86">
        <v>52.8</v>
      </c>
      <c r="T86">
        <f t="shared" si="9"/>
        <v>1.2210000000000001</v>
      </c>
      <c r="U86">
        <f t="shared" si="10"/>
        <v>42.545839999999998</v>
      </c>
      <c r="V86">
        <f t="shared" si="11"/>
        <v>3579.2511999999997</v>
      </c>
      <c r="W86" s="58" t="str">
        <f t="shared" si="12"/>
        <v>35° Skew Variable Width Abutment 50% Skewed Wings</v>
      </c>
    </row>
    <row r="87" spans="13:23" x14ac:dyDescent="0.25">
      <c r="M87" t="s">
        <v>121</v>
      </c>
      <c r="N87">
        <v>6</v>
      </c>
      <c r="O87" t="str">
        <f t="shared" si="8"/>
        <v>35_50_6</v>
      </c>
      <c r="P87">
        <v>23.67</v>
      </c>
      <c r="Q87">
        <v>0.78</v>
      </c>
      <c r="R87">
        <v>2032</v>
      </c>
      <c r="S87">
        <v>52.8</v>
      </c>
      <c r="T87">
        <f t="shared" si="9"/>
        <v>1.2210000000000001</v>
      </c>
      <c r="U87">
        <f t="shared" si="10"/>
        <v>46.527120000000004</v>
      </c>
      <c r="V87">
        <f t="shared" si="11"/>
        <v>3579.2511999999997</v>
      </c>
      <c r="W87" s="58" t="str">
        <f t="shared" si="12"/>
        <v>35° Skew Variable Width Abutment 50% Skewed Wings</v>
      </c>
    </row>
    <row r="88" spans="13:23" x14ac:dyDescent="0.25">
      <c r="M88" t="s">
        <v>121</v>
      </c>
      <c r="N88">
        <v>7</v>
      </c>
      <c r="O88" t="str">
        <f t="shared" si="8"/>
        <v>35_50_7</v>
      </c>
      <c r="P88">
        <v>33.71</v>
      </c>
      <c r="Q88">
        <v>0.93</v>
      </c>
      <c r="R88">
        <v>3062</v>
      </c>
      <c r="S88">
        <v>68.7</v>
      </c>
      <c r="T88">
        <f t="shared" si="9"/>
        <v>1.2210000000000001</v>
      </c>
      <c r="U88">
        <f t="shared" si="10"/>
        <v>60.962720000000004</v>
      </c>
      <c r="V88">
        <f t="shared" si="11"/>
        <v>5075.1848000000009</v>
      </c>
      <c r="W88" s="58" t="str">
        <f t="shared" si="12"/>
        <v>35° Skew Variable Width Abutment 50% Skewed Wings</v>
      </c>
    </row>
    <row r="89" spans="13:23" x14ac:dyDescent="0.25">
      <c r="M89" t="s">
        <v>121</v>
      </c>
      <c r="N89">
        <v>8</v>
      </c>
      <c r="O89" t="str">
        <f t="shared" si="8"/>
        <v>35_50_8</v>
      </c>
      <c r="P89">
        <v>36.090000000000003</v>
      </c>
      <c r="Q89">
        <v>1.01</v>
      </c>
      <c r="R89">
        <v>3062</v>
      </c>
      <c r="S89">
        <v>68.7</v>
      </c>
      <c r="T89">
        <f t="shared" si="9"/>
        <v>1.2210000000000001</v>
      </c>
      <c r="U89">
        <f t="shared" si="10"/>
        <v>65.68704000000001</v>
      </c>
      <c r="V89">
        <f t="shared" si="11"/>
        <v>5075.1848000000009</v>
      </c>
      <c r="W89" s="58" t="str">
        <f t="shared" si="12"/>
        <v>35° Skew Variable Width Abutment 50% Skewed Wings</v>
      </c>
    </row>
    <row r="90" spans="13:23" x14ac:dyDescent="0.25">
      <c r="M90" t="s">
        <v>121</v>
      </c>
      <c r="N90">
        <v>9</v>
      </c>
      <c r="O90" t="str">
        <f t="shared" si="8"/>
        <v>35_50_9</v>
      </c>
      <c r="P90">
        <v>51.05</v>
      </c>
      <c r="Q90">
        <v>1.19</v>
      </c>
      <c r="R90">
        <v>4695</v>
      </c>
      <c r="S90">
        <v>91</v>
      </c>
      <c r="T90">
        <f t="shared" si="9"/>
        <v>1.2210000000000001</v>
      </c>
      <c r="U90">
        <f t="shared" si="10"/>
        <v>85.921760000000006</v>
      </c>
      <c r="V90">
        <f t="shared" si="11"/>
        <v>7361.6640000000007</v>
      </c>
      <c r="W90" s="58" t="str">
        <f t="shared" si="12"/>
        <v>35° Skew Variable Width Abutment 50% Skewed Wings</v>
      </c>
    </row>
    <row r="91" spans="13:23" x14ac:dyDescent="0.25">
      <c r="M91" t="s">
        <v>121</v>
      </c>
      <c r="N91">
        <v>10</v>
      </c>
      <c r="O91" t="str">
        <f t="shared" si="8"/>
        <v>35_50_10</v>
      </c>
      <c r="P91">
        <v>53.95</v>
      </c>
      <c r="Q91">
        <v>1.27</v>
      </c>
      <c r="R91">
        <v>4695</v>
      </c>
      <c r="S91">
        <v>91</v>
      </c>
      <c r="T91">
        <f t="shared" si="9"/>
        <v>1.2210000000000001</v>
      </c>
      <c r="U91">
        <f t="shared" si="10"/>
        <v>91.166080000000008</v>
      </c>
      <c r="V91">
        <f t="shared" si="11"/>
        <v>7361.6640000000007</v>
      </c>
      <c r="W91" s="58" t="str">
        <f t="shared" si="12"/>
        <v>35° Skew Variable Width Abutment 50% Skewed Wings</v>
      </c>
    </row>
    <row r="92" spans="13:23" x14ac:dyDescent="0.25">
      <c r="M92" t="s">
        <v>121</v>
      </c>
      <c r="N92">
        <v>11</v>
      </c>
      <c r="O92" t="str">
        <f t="shared" si="8"/>
        <v>35_50_11</v>
      </c>
      <c r="P92">
        <v>67.290000000000006</v>
      </c>
      <c r="Q92">
        <v>1.41</v>
      </c>
      <c r="R92">
        <v>6745</v>
      </c>
      <c r="S92">
        <v>120.4</v>
      </c>
      <c r="T92">
        <f t="shared" si="9"/>
        <v>1.2210000000000001</v>
      </c>
      <c r="U92">
        <f t="shared" si="10"/>
        <v>108.60864000000001</v>
      </c>
      <c r="V92">
        <f t="shared" si="11"/>
        <v>10273.2016</v>
      </c>
      <c r="W92" s="58" t="str">
        <f t="shared" si="12"/>
        <v>35° Skew Variable Width Abutment 50% Skewed Wings</v>
      </c>
    </row>
    <row r="93" spans="13:23" x14ac:dyDescent="0.25">
      <c r="M93" t="s">
        <v>121</v>
      </c>
      <c r="N93">
        <v>12</v>
      </c>
      <c r="O93" t="str">
        <f t="shared" si="8"/>
        <v>35_50_12</v>
      </c>
      <c r="P93">
        <v>70.56</v>
      </c>
      <c r="Q93">
        <v>1.49</v>
      </c>
      <c r="R93">
        <v>6745</v>
      </c>
      <c r="S93">
        <v>120.4</v>
      </c>
      <c r="T93">
        <f t="shared" si="9"/>
        <v>1.2210000000000001</v>
      </c>
      <c r="U93">
        <f t="shared" si="10"/>
        <v>114.22296</v>
      </c>
      <c r="V93">
        <f t="shared" si="11"/>
        <v>10273.2016</v>
      </c>
      <c r="W93" s="58" t="str">
        <f t="shared" si="12"/>
        <v>35° Skew Variable Width Abutment 50% Skewed Wings</v>
      </c>
    </row>
    <row r="94" spans="13:23" x14ac:dyDescent="0.25">
      <c r="M94" t="s">
        <v>121</v>
      </c>
      <c r="N94">
        <v>13</v>
      </c>
      <c r="O94" t="str">
        <f t="shared" si="8"/>
        <v>35_50_13</v>
      </c>
      <c r="P94">
        <v>89.22</v>
      </c>
      <c r="Q94">
        <v>1.64</v>
      </c>
      <c r="R94">
        <v>10057</v>
      </c>
      <c r="S94">
        <v>161</v>
      </c>
      <c r="T94">
        <f t="shared" si="9"/>
        <v>1.2210000000000001</v>
      </c>
      <c r="U94">
        <f t="shared" si="10"/>
        <v>137.27856</v>
      </c>
      <c r="V94">
        <f t="shared" si="11"/>
        <v>14774.944</v>
      </c>
      <c r="W94" s="58" t="str">
        <f t="shared" si="12"/>
        <v>35° Skew Variable Width Abutment 50% Skewed Wings</v>
      </c>
    </row>
    <row r="95" spans="13:23" x14ac:dyDescent="0.25">
      <c r="M95" t="s">
        <v>121</v>
      </c>
      <c r="N95">
        <v>14</v>
      </c>
      <c r="O95" t="str">
        <f t="shared" si="8"/>
        <v>35_50_14</v>
      </c>
      <c r="P95">
        <v>93.01</v>
      </c>
      <c r="Q95">
        <v>1.71</v>
      </c>
      <c r="R95">
        <v>10057</v>
      </c>
      <c r="S95">
        <v>161</v>
      </c>
      <c r="T95">
        <f t="shared" si="9"/>
        <v>1.2210000000000001</v>
      </c>
      <c r="U95">
        <f t="shared" si="10"/>
        <v>143.11984000000001</v>
      </c>
      <c r="V95">
        <f t="shared" si="11"/>
        <v>14774.944</v>
      </c>
      <c r="W95" s="58" t="str">
        <f t="shared" si="12"/>
        <v>35° Skew Variable Width Abutment 50% Skewed Wings</v>
      </c>
    </row>
    <row r="96" spans="13:23" x14ac:dyDescent="0.25">
      <c r="M96" t="s">
        <v>121</v>
      </c>
      <c r="N96">
        <v>15</v>
      </c>
      <c r="O96" t="str">
        <f t="shared" si="8"/>
        <v>35_50_15</v>
      </c>
      <c r="P96">
        <v>112.3</v>
      </c>
      <c r="Q96">
        <v>1.86</v>
      </c>
      <c r="R96">
        <v>13480</v>
      </c>
      <c r="S96">
        <v>198.6</v>
      </c>
      <c r="T96">
        <f t="shared" si="9"/>
        <v>1.2210000000000001</v>
      </c>
      <c r="U96">
        <f t="shared" si="10"/>
        <v>166.80544</v>
      </c>
      <c r="V96">
        <f t="shared" si="11"/>
        <v>19299.774400000002</v>
      </c>
      <c r="W96" s="58" t="str">
        <f t="shared" si="12"/>
        <v>35° Skew Variable Width Abutment 50% Skewed Wings</v>
      </c>
    </row>
    <row r="97" spans="13:23" x14ac:dyDescent="0.25">
      <c r="M97" t="s">
        <v>121</v>
      </c>
      <c r="N97">
        <v>16</v>
      </c>
      <c r="O97" t="str">
        <f t="shared" si="8"/>
        <v>35_50_16</v>
      </c>
      <c r="P97">
        <v>116.54</v>
      </c>
      <c r="Q97">
        <v>1.93</v>
      </c>
      <c r="R97">
        <v>13480</v>
      </c>
      <c r="S97">
        <v>198.6</v>
      </c>
      <c r="T97">
        <f t="shared" si="9"/>
        <v>1.2210000000000001</v>
      </c>
      <c r="U97">
        <f t="shared" si="10"/>
        <v>173.09672</v>
      </c>
      <c r="V97">
        <f t="shared" si="11"/>
        <v>19299.774400000002</v>
      </c>
      <c r="W97" s="58" t="str">
        <f t="shared" si="12"/>
        <v>35° Skew Variable Width Abutment 50% Skewed Wings</v>
      </c>
    </row>
    <row r="98" spans="13:23" x14ac:dyDescent="0.25">
      <c r="M98" t="s">
        <v>122</v>
      </c>
      <c r="N98">
        <v>5</v>
      </c>
      <c r="O98" t="str">
        <f t="shared" si="8"/>
        <v>40_50_5</v>
      </c>
      <c r="P98">
        <v>23.01</v>
      </c>
      <c r="Q98">
        <v>0.71</v>
      </c>
      <c r="R98">
        <v>2143</v>
      </c>
      <c r="S98">
        <v>52.8</v>
      </c>
      <c r="T98">
        <f t="shared" si="9"/>
        <v>1.3049999999999999</v>
      </c>
      <c r="U98">
        <f t="shared" si="10"/>
        <v>45.247199999999999</v>
      </c>
      <c r="V98">
        <f t="shared" si="11"/>
        <v>3796.6959999999999</v>
      </c>
      <c r="W98" s="58" t="str">
        <f t="shared" si="12"/>
        <v>40° Skew Variable Width Abutment 50% Skewed Wings</v>
      </c>
    </row>
    <row r="99" spans="13:23" x14ac:dyDescent="0.25">
      <c r="M99" t="s">
        <v>122</v>
      </c>
      <c r="N99">
        <v>6</v>
      </c>
      <c r="O99" t="str">
        <f t="shared" si="8"/>
        <v>40_50_6</v>
      </c>
      <c r="P99">
        <v>25.06</v>
      </c>
      <c r="Q99">
        <v>0.78</v>
      </c>
      <c r="R99">
        <v>2143</v>
      </c>
      <c r="S99">
        <v>52.8</v>
      </c>
      <c r="T99">
        <f t="shared" si="9"/>
        <v>1.3049999999999999</v>
      </c>
      <c r="U99">
        <f t="shared" si="10"/>
        <v>49.489599999999996</v>
      </c>
      <c r="V99">
        <f t="shared" si="11"/>
        <v>3796.6959999999999</v>
      </c>
      <c r="W99" s="58" t="str">
        <f t="shared" si="12"/>
        <v>40° Skew Variable Width Abutment 50% Skewed Wings</v>
      </c>
    </row>
    <row r="100" spans="13:23" x14ac:dyDescent="0.25">
      <c r="M100" t="s">
        <v>122</v>
      </c>
      <c r="N100">
        <v>7</v>
      </c>
      <c r="O100" t="str">
        <f t="shared" si="8"/>
        <v>40_50_7</v>
      </c>
      <c r="P100">
        <v>36.35</v>
      </c>
      <c r="Q100">
        <v>0.93</v>
      </c>
      <c r="R100">
        <v>3263</v>
      </c>
      <c r="S100">
        <v>68.7</v>
      </c>
      <c r="T100">
        <f t="shared" si="9"/>
        <v>1.3049999999999999</v>
      </c>
      <c r="U100">
        <f t="shared" si="10"/>
        <v>65.477599999999995</v>
      </c>
      <c r="V100">
        <f t="shared" si="11"/>
        <v>5414.6840000000002</v>
      </c>
      <c r="W100" s="58" t="str">
        <f t="shared" si="12"/>
        <v>40° Skew Variable Width Abutment 50% Skewed Wings</v>
      </c>
    </row>
    <row r="101" spans="13:23" x14ac:dyDescent="0.25">
      <c r="M101" t="s">
        <v>122</v>
      </c>
      <c r="N101">
        <v>8</v>
      </c>
      <c r="O101" t="str">
        <f t="shared" si="8"/>
        <v>40_50_8</v>
      </c>
      <c r="P101">
        <v>38.92</v>
      </c>
      <c r="Q101">
        <v>1.01</v>
      </c>
      <c r="R101">
        <v>3263</v>
      </c>
      <c r="S101">
        <v>68.7</v>
      </c>
      <c r="T101">
        <f t="shared" si="9"/>
        <v>1.3049999999999999</v>
      </c>
      <c r="U101">
        <f t="shared" si="10"/>
        <v>70.553200000000004</v>
      </c>
      <c r="V101">
        <f t="shared" si="11"/>
        <v>5414.6840000000002</v>
      </c>
      <c r="W101" s="58" t="str">
        <f t="shared" si="12"/>
        <v>40° Skew Variable Width Abutment 50% Skewed Wings</v>
      </c>
    </row>
    <row r="102" spans="13:23" x14ac:dyDescent="0.25">
      <c r="M102" t="s">
        <v>122</v>
      </c>
      <c r="N102">
        <v>9</v>
      </c>
      <c r="O102" t="str">
        <f t="shared" si="8"/>
        <v>40_50_9</v>
      </c>
      <c r="P102">
        <v>54.35</v>
      </c>
      <c r="Q102">
        <v>1.19</v>
      </c>
      <c r="R102">
        <v>4975</v>
      </c>
      <c r="S102">
        <v>91</v>
      </c>
      <c r="T102">
        <f t="shared" si="9"/>
        <v>1.3049999999999999</v>
      </c>
      <c r="U102">
        <f t="shared" si="10"/>
        <v>91.620800000000003</v>
      </c>
      <c r="V102">
        <f t="shared" si="11"/>
        <v>7825.12</v>
      </c>
      <c r="W102" s="58" t="str">
        <f t="shared" si="12"/>
        <v>40° Skew Variable Width Abutment 50% Skewed Wings</v>
      </c>
    </row>
    <row r="103" spans="13:23" x14ac:dyDescent="0.25">
      <c r="M103" t="s">
        <v>122</v>
      </c>
      <c r="N103">
        <v>10</v>
      </c>
      <c r="O103" t="str">
        <f t="shared" si="8"/>
        <v>40_50_10</v>
      </c>
      <c r="P103">
        <v>57.43</v>
      </c>
      <c r="Q103">
        <v>1.27</v>
      </c>
      <c r="R103">
        <v>4975</v>
      </c>
      <c r="S103">
        <v>91</v>
      </c>
      <c r="T103">
        <f t="shared" si="9"/>
        <v>1.3049999999999999</v>
      </c>
      <c r="U103">
        <f t="shared" si="10"/>
        <v>97.206400000000002</v>
      </c>
      <c r="V103">
        <f t="shared" si="11"/>
        <v>7825.12</v>
      </c>
      <c r="W103" s="58" t="str">
        <f t="shared" si="12"/>
        <v>40° Skew Variable Width Abutment 50% Skewed Wings</v>
      </c>
    </row>
    <row r="104" spans="13:23" x14ac:dyDescent="0.25">
      <c r="M104" t="s">
        <v>122</v>
      </c>
      <c r="N104">
        <v>11</v>
      </c>
      <c r="O104" t="str">
        <f t="shared" si="8"/>
        <v>40_50_11</v>
      </c>
      <c r="P104">
        <v>71.150000000000006</v>
      </c>
      <c r="Q104">
        <v>1.41</v>
      </c>
      <c r="R104">
        <v>7104</v>
      </c>
      <c r="S104">
        <v>120.4</v>
      </c>
      <c r="T104">
        <f t="shared" si="9"/>
        <v>1.3049999999999999</v>
      </c>
      <c r="U104">
        <f t="shared" si="10"/>
        <v>115.3112</v>
      </c>
      <c r="V104">
        <f t="shared" si="11"/>
        <v>10874.928</v>
      </c>
      <c r="W104" s="58" t="str">
        <f t="shared" si="12"/>
        <v>40° Skew Variable Width Abutment 50% Skewed Wings</v>
      </c>
    </row>
    <row r="105" spans="13:23" x14ac:dyDescent="0.25">
      <c r="M105" t="s">
        <v>122</v>
      </c>
      <c r="N105">
        <v>12</v>
      </c>
      <c r="O105" t="str">
        <f t="shared" si="8"/>
        <v>40_50_12</v>
      </c>
      <c r="P105">
        <v>74.61</v>
      </c>
      <c r="Q105">
        <v>1.49</v>
      </c>
      <c r="R105">
        <v>7104</v>
      </c>
      <c r="S105">
        <v>120.4</v>
      </c>
      <c r="T105">
        <f t="shared" si="9"/>
        <v>1.3049999999999999</v>
      </c>
      <c r="U105">
        <f t="shared" si="10"/>
        <v>121.27679999999999</v>
      </c>
      <c r="V105">
        <f t="shared" si="11"/>
        <v>10874.928</v>
      </c>
      <c r="W105" s="58" t="str">
        <f t="shared" si="12"/>
        <v>40° Skew Variable Width Abutment 50% Skewed Wings</v>
      </c>
    </row>
    <row r="106" spans="13:23" x14ac:dyDescent="0.25">
      <c r="M106" t="s">
        <v>122</v>
      </c>
      <c r="N106">
        <v>13</v>
      </c>
      <c r="O106" t="str">
        <f t="shared" si="8"/>
        <v>40_50_13</v>
      </c>
      <c r="P106">
        <v>73.64</v>
      </c>
      <c r="Q106">
        <v>1.64</v>
      </c>
      <c r="R106">
        <v>10462</v>
      </c>
      <c r="S106">
        <v>161</v>
      </c>
      <c r="T106">
        <f t="shared" si="9"/>
        <v>1.3049999999999999</v>
      </c>
      <c r="U106">
        <f t="shared" si="10"/>
        <v>125.00479999999999</v>
      </c>
      <c r="V106">
        <f t="shared" si="11"/>
        <v>15504.52</v>
      </c>
      <c r="W106" s="58" t="str">
        <f t="shared" si="12"/>
        <v>40° Skew Variable Width Abutment 50% Skewed Wings</v>
      </c>
    </row>
    <row r="107" spans="13:23" x14ac:dyDescent="0.25">
      <c r="M107" t="s">
        <v>122</v>
      </c>
      <c r="N107">
        <v>14</v>
      </c>
      <c r="O107" t="str">
        <f t="shared" si="8"/>
        <v>40_50_14</v>
      </c>
      <c r="P107">
        <v>97.62</v>
      </c>
      <c r="Q107">
        <v>1.71</v>
      </c>
      <c r="R107">
        <v>10462</v>
      </c>
      <c r="S107">
        <v>161</v>
      </c>
      <c r="T107">
        <f t="shared" si="9"/>
        <v>1.3049999999999999</v>
      </c>
      <c r="U107">
        <f t="shared" si="10"/>
        <v>151.1772</v>
      </c>
      <c r="V107">
        <f t="shared" si="11"/>
        <v>15504.52</v>
      </c>
      <c r="W107" s="58" t="str">
        <f t="shared" si="12"/>
        <v>40° Skew Variable Width Abutment 50% Skewed Wings</v>
      </c>
    </row>
    <row r="108" spans="13:23" x14ac:dyDescent="0.25">
      <c r="M108" t="s">
        <v>122</v>
      </c>
      <c r="N108">
        <v>15</v>
      </c>
      <c r="O108" t="str">
        <f t="shared" si="8"/>
        <v>40_50_15</v>
      </c>
      <c r="P108">
        <v>119.24</v>
      </c>
      <c r="Q108">
        <v>1.86</v>
      </c>
      <c r="R108">
        <v>14253</v>
      </c>
      <c r="S108">
        <v>198.6</v>
      </c>
      <c r="T108">
        <f t="shared" si="9"/>
        <v>1.3049999999999999</v>
      </c>
      <c r="U108">
        <f t="shared" si="10"/>
        <v>177.49519999999998</v>
      </c>
      <c r="V108">
        <f t="shared" si="11"/>
        <v>20473.151999999998</v>
      </c>
      <c r="W108" s="58" t="str">
        <f t="shared" si="12"/>
        <v>40° Skew Variable Width Abutment 50% Skewed Wings</v>
      </c>
    </row>
    <row r="109" spans="13:23" x14ac:dyDescent="0.25">
      <c r="M109" t="s">
        <v>122</v>
      </c>
      <c r="N109">
        <v>16</v>
      </c>
      <c r="O109" t="str">
        <f t="shared" si="8"/>
        <v>40_50_16</v>
      </c>
      <c r="P109">
        <v>123.73</v>
      </c>
      <c r="Q109">
        <v>1.93</v>
      </c>
      <c r="R109">
        <v>14253</v>
      </c>
      <c r="S109">
        <v>198.6</v>
      </c>
      <c r="T109">
        <f t="shared" si="9"/>
        <v>1.3049999999999999</v>
      </c>
      <c r="U109">
        <f t="shared" si="10"/>
        <v>184.17759999999998</v>
      </c>
      <c r="V109">
        <f t="shared" si="11"/>
        <v>20473.151999999998</v>
      </c>
      <c r="W109" s="58" t="str">
        <f t="shared" si="12"/>
        <v>40° Skew Variable Width Abutment 50% Skewed Wings</v>
      </c>
    </row>
    <row r="110" spans="13:23" x14ac:dyDescent="0.25">
      <c r="M110" t="s">
        <v>123</v>
      </c>
      <c r="N110">
        <v>5</v>
      </c>
      <c r="O110" t="str">
        <f t="shared" si="8"/>
        <v>45_50_5</v>
      </c>
      <c r="P110">
        <v>24.42</v>
      </c>
      <c r="Q110">
        <v>0.71</v>
      </c>
      <c r="R110">
        <v>2258</v>
      </c>
      <c r="S110">
        <v>52.8</v>
      </c>
      <c r="T110">
        <f t="shared" si="9"/>
        <v>1.4139999999999999</v>
      </c>
      <c r="U110">
        <f t="shared" si="10"/>
        <v>48.514560000000003</v>
      </c>
      <c r="V110">
        <f t="shared" si="11"/>
        <v>4049.8207999999995</v>
      </c>
      <c r="W110" s="58" t="str">
        <f t="shared" si="12"/>
        <v>45° Skew Variable Width Abutment 50% Skewed Wings</v>
      </c>
    </row>
    <row r="111" spans="13:23" x14ac:dyDescent="0.25">
      <c r="M111" t="s">
        <v>123</v>
      </c>
      <c r="N111">
        <v>6</v>
      </c>
      <c r="O111" t="str">
        <f t="shared" si="8"/>
        <v>45_50_6</v>
      </c>
      <c r="P111">
        <v>26.59</v>
      </c>
      <c r="Q111">
        <v>0.78</v>
      </c>
      <c r="R111">
        <v>2258</v>
      </c>
      <c r="S111">
        <v>52.8</v>
      </c>
      <c r="T111">
        <f t="shared" si="9"/>
        <v>1.4139999999999999</v>
      </c>
      <c r="U111">
        <f t="shared" si="10"/>
        <v>53.060079999999999</v>
      </c>
      <c r="V111">
        <f t="shared" si="11"/>
        <v>4049.8207999999995</v>
      </c>
      <c r="W111" s="58" t="str">
        <f t="shared" si="12"/>
        <v>45° Skew Variable Width Abutment 50% Skewed Wings</v>
      </c>
    </row>
    <row r="112" spans="13:23" x14ac:dyDescent="0.25">
      <c r="M112" t="s">
        <v>123</v>
      </c>
      <c r="N112">
        <v>7</v>
      </c>
      <c r="O112" t="str">
        <f t="shared" si="8"/>
        <v>45_50_7</v>
      </c>
      <c r="P112">
        <v>38.130000000000003</v>
      </c>
      <c r="Q112">
        <v>0.93</v>
      </c>
      <c r="R112">
        <v>3425</v>
      </c>
      <c r="S112">
        <v>68.7</v>
      </c>
      <c r="T112">
        <f t="shared" si="9"/>
        <v>1.4139999999999999</v>
      </c>
      <c r="U112">
        <f t="shared" si="10"/>
        <v>69.690480000000008</v>
      </c>
      <c r="V112">
        <f t="shared" si="11"/>
        <v>5756.4032000000007</v>
      </c>
      <c r="W112" s="58" t="str">
        <f t="shared" si="12"/>
        <v>45° Skew Variable Width Abutment 50% Skewed Wings</v>
      </c>
    </row>
    <row r="113" spans="13:23" x14ac:dyDescent="0.25">
      <c r="M113" t="s">
        <v>123</v>
      </c>
      <c r="N113">
        <v>8</v>
      </c>
      <c r="O113" t="str">
        <f t="shared" si="8"/>
        <v>45_50_8</v>
      </c>
      <c r="P113">
        <v>40.82</v>
      </c>
      <c r="Q113">
        <v>1.01</v>
      </c>
      <c r="R113">
        <v>3425</v>
      </c>
      <c r="S113">
        <v>68.7</v>
      </c>
      <c r="T113">
        <f t="shared" si="9"/>
        <v>1.4139999999999999</v>
      </c>
      <c r="U113">
        <f t="shared" si="10"/>
        <v>75.095359999999999</v>
      </c>
      <c r="V113">
        <f t="shared" si="11"/>
        <v>5756.4032000000007</v>
      </c>
      <c r="W113" s="58" t="str">
        <f t="shared" si="12"/>
        <v>45° Skew Variable Width Abutment 50% Skewed Wings</v>
      </c>
    </row>
    <row r="114" spans="13:23" x14ac:dyDescent="0.25">
      <c r="M114" t="s">
        <v>123</v>
      </c>
      <c r="N114">
        <v>9</v>
      </c>
      <c r="O114" t="str">
        <f t="shared" si="8"/>
        <v>45_50_9</v>
      </c>
      <c r="P114">
        <v>56.56</v>
      </c>
      <c r="Q114">
        <v>1.19</v>
      </c>
      <c r="R114">
        <v>5154</v>
      </c>
      <c r="S114">
        <v>91</v>
      </c>
      <c r="T114">
        <f t="shared" si="9"/>
        <v>1.4139999999999999</v>
      </c>
      <c r="U114">
        <f t="shared" si="10"/>
        <v>96.943839999999994</v>
      </c>
      <c r="V114">
        <f t="shared" si="11"/>
        <v>8242.1759999999995</v>
      </c>
      <c r="W114" s="58" t="str">
        <f t="shared" si="12"/>
        <v>45° Skew Variable Width Abutment 50% Skewed Wings</v>
      </c>
    </row>
    <row r="115" spans="13:23" x14ac:dyDescent="0.25">
      <c r="M115" t="s">
        <v>123</v>
      </c>
      <c r="N115">
        <v>10</v>
      </c>
      <c r="O115" t="str">
        <f t="shared" si="8"/>
        <v>45_50_10</v>
      </c>
      <c r="P115">
        <v>59.77</v>
      </c>
      <c r="Q115">
        <v>1.27</v>
      </c>
      <c r="R115">
        <v>5154</v>
      </c>
      <c r="S115">
        <v>91</v>
      </c>
      <c r="T115">
        <f t="shared" si="9"/>
        <v>1.4139999999999999</v>
      </c>
      <c r="U115">
        <f t="shared" si="10"/>
        <v>102.86872</v>
      </c>
      <c r="V115">
        <f t="shared" si="11"/>
        <v>8242.1759999999995</v>
      </c>
      <c r="W115" s="58" t="str">
        <f t="shared" si="12"/>
        <v>45° Skew Variable Width Abutment 50% Skewed Wings</v>
      </c>
    </row>
    <row r="116" spans="13:23" x14ac:dyDescent="0.25">
      <c r="M116" t="s">
        <v>123</v>
      </c>
      <c r="N116">
        <v>11</v>
      </c>
      <c r="O116" t="str">
        <f t="shared" si="8"/>
        <v>45_50_11</v>
      </c>
      <c r="P116">
        <v>76.760000000000005</v>
      </c>
      <c r="Q116">
        <v>1.41</v>
      </c>
      <c r="R116">
        <v>7598</v>
      </c>
      <c r="S116">
        <v>120.4</v>
      </c>
      <c r="T116">
        <f t="shared" si="9"/>
        <v>1.4139999999999999</v>
      </c>
      <c r="U116">
        <f t="shared" si="10"/>
        <v>124.60975999999999</v>
      </c>
      <c r="V116">
        <f t="shared" si="11"/>
        <v>11683.894400000001</v>
      </c>
      <c r="W116" s="58" t="str">
        <f t="shared" si="12"/>
        <v>45° Skew Variable Width Abutment 50% Skewed Wings</v>
      </c>
    </row>
    <row r="117" spans="13:23" x14ac:dyDescent="0.25">
      <c r="M117" t="s">
        <v>123</v>
      </c>
      <c r="N117">
        <v>12</v>
      </c>
      <c r="O117" t="str">
        <f t="shared" si="8"/>
        <v>45_50_12</v>
      </c>
      <c r="P117">
        <v>80.489999999999995</v>
      </c>
      <c r="Q117">
        <v>1.49</v>
      </c>
      <c r="R117">
        <v>7598</v>
      </c>
      <c r="S117">
        <v>120.4</v>
      </c>
      <c r="T117">
        <f t="shared" si="9"/>
        <v>1.4139999999999999</v>
      </c>
      <c r="U117">
        <f t="shared" si="10"/>
        <v>131.05464000000001</v>
      </c>
      <c r="V117">
        <f t="shared" si="11"/>
        <v>11683.894400000001</v>
      </c>
      <c r="W117" s="58" t="str">
        <f t="shared" si="12"/>
        <v>45° Skew Variable Width Abutment 50% Skewed Wings</v>
      </c>
    </row>
    <row r="118" spans="13:23" x14ac:dyDescent="0.25">
      <c r="M118" t="s">
        <v>123</v>
      </c>
      <c r="N118">
        <v>13</v>
      </c>
      <c r="O118" t="str">
        <f t="shared" si="8"/>
        <v>45_50_13</v>
      </c>
      <c r="P118">
        <v>100.06</v>
      </c>
      <c r="Q118">
        <v>1.64</v>
      </c>
      <c r="R118">
        <v>11157</v>
      </c>
      <c r="S118">
        <v>161</v>
      </c>
      <c r="T118">
        <f t="shared" si="9"/>
        <v>1.4139999999999999</v>
      </c>
      <c r="U118">
        <f t="shared" si="10"/>
        <v>155.71503999999999</v>
      </c>
      <c r="V118">
        <f t="shared" si="11"/>
        <v>16620.696</v>
      </c>
      <c r="W118" s="58" t="str">
        <f t="shared" si="12"/>
        <v>45° Skew Variable Width Abutment 50% Skewed Wings</v>
      </c>
    </row>
    <row r="119" spans="13:23" x14ac:dyDescent="0.25">
      <c r="M119" t="s">
        <v>123</v>
      </c>
      <c r="N119">
        <v>14</v>
      </c>
      <c r="O119" t="str">
        <f t="shared" si="8"/>
        <v>45_50_14</v>
      </c>
      <c r="P119">
        <v>104.31</v>
      </c>
      <c r="Q119">
        <v>1.71</v>
      </c>
      <c r="R119">
        <v>11157</v>
      </c>
      <c r="S119">
        <v>161</v>
      </c>
      <c r="T119">
        <f t="shared" si="9"/>
        <v>1.4139999999999999</v>
      </c>
      <c r="U119">
        <f t="shared" si="10"/>
        <v>162.34055999999998</v>
      </c>
      <c r="V119">
        <f t="shared" si="11"/>
        <v>16620.696</v>
      </c>
      <c r="W119" s="58" t="str">
        <f t="shared" si="12"/>
        <v>45° Skew Variable Width Abutment 50% Skewed Wings</v>
      </c>
    </row>
    <row r="120" spans="13:23" x14ac:dyDescent="0.25">
      <c r="M120" t="s">
        <v>123</v>
      </c>
      <c r="N120">
        <v>15</v>
      </c>
      <c r="O120" t="str">
        <f t="shared" si="8"/>
        <v>45_50_15</v>
      </c>
      <c r="P120">
        <v>124.53</v>
      </c>
      <c r="Q120">
        <v>1.86</v>
      </c>
      <c r="R120">
        <v>14883</v>
      </c>
      <c r="S120">
        <v>198.6</v>
      </c>
      <c r="T120">
        <f t="shared" si="9"/>
        <v>1.4139999999999999</v>
      </c>
      <c r="U120">
        <f t="shared" si="10"/>
        <v>187.65096</v>
      </c>
      <c r="V120">
        <f t="shared" si="11"/>
        <v>21622.689599999998</v>
      </c>
      <c r="W120" s="58" t="str">
        <f t="shared" si="12"/>
        <v>45° Skew Variable Width Abutment 50% Skewed Wings</v>
      </c>
    </row>
    <row r="121" spans="13:23" x14ac:dyDescent="0.25">
      <c r="M121" t="s">
        <v>123</v>
      </c>
      <c r="N121">
        <v>16</v>
      </c>
      <c r="O121" t="str">
        <f t="shared" si="8"/>
        <v>45_50_16</v>
      </c>
      <c r="P121">
        <v>129.22</v>
      </c>
      <c r="Q121">
        <v>1.93</v>
      </c>
      <c r="R121">
        <v>14883</v>
      </c>
      <c r="S121">
        <v>198.6</v>
      </c>
      <c r="T121">
        <f t="shared" si="9"/>
        <v>1.4139999999999999</v>
      </c>
      <c r="U121">
        <f t="shared" si="10"/>
        <v>194.71647999999999</v>
      </c>
      <c r="V121">
        <f t="shared" si="11"/>
        <v>21622.689599999998</v>
      </c>
      <c r="W121" s="58" t="str">
        <f t="shared" si="12"/>
        <v>45° Skew Variable Width Abutment 50% Skewed Wings</v>
      </c>
    </row>
    <row r="122" spans="13:23" x14ac:dyDescent="0.25">
      <c r="M122" t="s">
        <v>124</v>
      </c>
      <c r="N122">
        <v>5</v>
      </c>
      <c r="O122" t="str">
        <f t="shared" si="8"/>
        <v>00_25_5</v>
      </c>
      <c r="P122">
        <v>20.59</v>
      </c>
      <c r="Q122">
        <v>0.71</v>
      </c>
      <c r="R122">
        <v>1993</v>
      </c>
      <c r="S122">
        <v>52.8</v>
      </c>
      <c r="T122">
        <f t="shared" si="9"/>
        <v>1</v>
      </c>
      <c r="U122">
        <f t="shared" si="10"/>
        <v>37.629999999999995</v>
      </c>
      <c r="V122">
        <f t="shared" si="11"/>
        <v>3260.2</v>
      </c>
      <c r="W122" s="58" t="str">
        <f t="shared" si="12"/>
        <v>0° Skew Variable Width Abutment 25% Skewed Wings</v>
      </c>
    </row>
    <row r="123" spans="13:23" x14ac:dyDescent="0.25">
      <c r="M123" t="s">
        <v>124</v>
      </c>
      <c r="N123">
        <v>6</v>
      </c>
      <c r="O123" t="str">
        <f t="shared" si="8"/>
        <v>00_25_6</v>
      </c>
      <c r="P123">
        <v>22.42</v>
      </c>
      <c r="Q123">
        <v>0.78</v>
      </c>
      <c r="R123">
        <v>1993</v>
      </c>
      <c r="S123">
        <v>52.8</v>
      </c>
      <c r="T123">
        <f t="shared" si="9"/>
        <v>1</v>
      </c>
      <c r="U123">
        <f t="shared" si="10"/>
        <v>41.14</v>
      </c>
      <c r="V123">
        <f t="shared" si="11"/>
        <v>3260.2</v>
      </c>
      <c r="W123" s="58" t="str">
        <f t="shared" si="12"/>
        <v>0° Skew Variable Width Abutment 25% Skewed Wings</v>
      </c>
    </row>
    <row r="124" spans="13:23" x14ac:dyDescent="0.25">
      <c r="M124" t="s">
        <v>124</v>
      </c>
      <c r="N124">
        <v>7</v>
      </c>
      <c r="O124" t="str">
        <f t="shared" si="8"/>
        <v>00_25_7</v>
      </c>
      <c r="P124">
        <v>30.2</v>
      </c>
      <c r="Q124">
        <v>0.93</v>
      </c>
      <c r="R124">
        <v>2856</v>
      </c>
      <c r="S124">
        <v>68.7</v>
      </c>
      <c r="T124">
        <f t="shared" si="9"/>
        <v>1</v>
      </c>
      <c r="U124">
        <f t="shared" si="10"/>
        <v>52.519999999999996</v>
      </c>
      <c r="V124">
        <f t="shared" si="11"/>
        <v>4504.8</v>
      </c>
      <c r="W124" s="58" t="str">
        <f t="shared" si="12"/>
        <v>0° Skew Variable Width Abutment 25% Skewed Wings</v>
      </c>
    </row>
    <row r="125" spans="13:23" x14ac:dyDescent="0.25">
      <c r="M125" t="s">
        <v>124</v>
      </c>
      <c r="N125">
        <v>8</v>
      </c>
      <c r="O125" t="str">
        <f t="shared" si="8"/>
        <v>00_25_8</v>
      </c>
      <c r="P125">
        <v>32.33</v>
      </c>
      <c r="Q125">
        <v>1.01</v>
      </c>
      <c r="R125">
        <v>2856</v>
      </c>
      <c r="S125">
        <v>68.7</v>
      </c>
      <c r="T125">
        <f t="shared" si="9"/>
        <v>1</v>
      </c>
      <c r="U125">
        <f t="shared" si="10"/>
        <v>56.57</v>
      </c>
      <c r="V125">
        <f t="shared" si="11"/>
        <v>4504.8</v>
      </c>
      <c r="W125" s="58" t="str">
        <f t="shared" si="12"/>
        <v>0° Skew Variable Width Abutment 25% Skewed Wings</v>
      </c>
    </row>
    <row r="126" spans="13:23" x14ac:dyDescent="0.25">
      <c r="M126" t="s">
        <v>124</v>
      </c>
      <c r="N126">
        <v>9</v>
      </c>
      <c r="O126" t="str">
        <f t="shared" si="8"/>
        <v>00_25_9</v>
      </c>
      <c r="P126">
        <v>47.95</v>
      </c>
      <c r="Q126">
        <v>1.19</v>
      </c>
      <c r="R126">
        <v>4571</v>
      </c>
      <c r="S126">
        <v>91</v>
      </c>
      <c r="T126">
        <f t="shared" si="9"/>
        <v>1</v>
      </c>
      <c r="U126">
        <f t="shared" si="10"/>
        <v>76.510000000000005</v>
      </c>
      <c r="V126">
        <f t="shared" si="11"/>
        <v>6755</v>
      </c>
      <c r="W126" s="58" t="str">
        <f t="shared" si="12"/>
        <v>0° Skew Variable Width Abutment 25% Skewed Wings</v>
      </c>
    </row>
    <row r="127" spans="13:23" x14ac:dyDescent="0.25">
      <c r="M127" t="s">
        <v>124</v>
      </c>
      <c r="N127">
        <v>10</v>
      </c>
      <c r="O127" t="str">
        <f t="shared" si="8"/>
        <v>00_25_10</v>
      </c>
      <c r="P127">
        <v>50.68</v>
      </c>
      <c r="Q127">
        <v>1.27</v>
      </c>
      <c r="R127">
        <v>4571</v>
      </c>
      <c r="S127">
        <v>91</v>
      </c>
      <c r="T127">
        <f t="shared" si="9"/>
        <v>1</v>
      </c>
      <c r="U127">
        <f t="shared" si="10"/>
        <v>81.16</v>
      </c>
      <c r="V127">
        <f t="shared" si="11"/>
        <v>6755</v>
      </c>
      <c r="W127" s="58" t="str">
        <f t="shared" si="12"/>
        <v>0° Skew Variable Width Abutment 25% Skewed Wings</v>
      </c>
    </row>
    <row r="128" spans="13:23" x14ac:dyDescent="0.25">
      <c r="M128" t="s">
        <v>124</v>
      </c>
      <c r="N128">
        <v>11</v>
      </c>
      <c r="O128" t="str">
        <f t="shared" si="8"/>
        <v>00_25_11</v>
      </c>
      <c r="P128">
        <v>62.16</v>
      </c>
      <c r="Q128">
        <v>1.41</v>
      </c>
      <c r="R128">
        <v>6513</v>
      </c>
      <c r="S128">
        <v>120.4</v>
      </c>
      <c r="T128">
        <f t="shared" si="9"/>
        <v>1</v>
      </c>
      <c r="U128">
        <f t="shared" si="10"/>
        <v>96</v>
      </c>
      <c r="V128">
        <f t="shared" si="11"/>
        <v>9402.6</v>
      </c>
      <c r="W128" s="58" t="str">
        <f t="shared" si="12"/>
        <v>0° Skew Variable Width Abutment 25% Skewed Wings</v>
      </c>
    </row>
    <row r="129" spans="13:23" x14ac:dyDescent="0.25">
      <c r="M129" t="s">
        <v>124</v>
      </c>
      <c r="N129">
        <v>12</v>
      </c>
      <c r="O129" t="str">
        <f t="shared" si="8"/>
        <v>00_25_12</v>
      </c>
      <c r="P129">
        <v>65.180000000000007</v>
      </c>
      <c r="Q129">
        <v>1.49</v>
      </c>
      <c r="R129">
        <v>6513</v>
      </c>
      <c r="S129">
        <v>120.4</v>
      </c>
      <c r="T129">
        <f t="shared" si="9"/>
        <v>1</v>
      </c>
      <c r="U129">
        <f t="shared" si="10"/>
        <v>100.94</v>
      </c>
      <c r="V129">
        <f t="shared" si="11"/>
        <v>9402.6</v>
      </c>
      <c r="W129" s="58" t="str">
        <f t="shared" si="12"/>
        <v>0° Skew Variable Width Abutment 25% Skewed Wings</v>
      </c>
    </row>
    <row r="130" spans="13:23" x14ac:dyDescent="0.25">
      <c r="M130" t="s">
        <v>124</v>
      </c>
      <c r="N130">
        <v>13</v>
      </c>
      <c r="O130" t="str">
        <f t="shared" si="8"/>
        <v>00_25_13</v>
      </c>
      <c r="P130">
        <v>81.61</v>
      </c>
      <c r="Q130">
        <v>1.64</v>
      </c>
      <c r="R130">
        <v>9594</v>
      </c>
      <c r="S130">
        <v>161</v>
      </c>
      <c r="T130">
        <f t="shared" si="9"/>
        <v>1</v>
      </c>
      <c r="U130">
        <f t="shared" si="10"/>
        <v>120.97</v>
      </c>
      <c r="V130">
        <f t="shared" si="11"/>
        <v>13458</v>
      </c>
      <c r="W130" s="58" t="str">
        <f t="shared" si="12"/>
        <v>0° Skew Variable Width Abutment 25% Skewed Wings</v>
      </c>
    </row>
    <row r="131" spans="13:23" x14ac:dyDescent="0.25">
      <c r="M131" t="s">
        <v>124</v>
      </c>
      <c r="N131">
        <v>14</v>
      </c>
      <c r="O131" t="str">
        <f t="shared" ref="O131:O194" si="13">CONCATENATE(M131,"_",N131)</f>
        <v>00_25_14</v>
      </c>
      <c r="P131">
        <v>85.07</v>
      </c>
      <c r="Q131">
        <v>1.71</v>
      </c>
      <c r="R131">
        <v>9594</v>
      </c>
      <c r="S131">
        <v>161</v>
      </c>
      <c r="T131">
        <f t="shared" ref="T131:T194" si="14">ROUND(1/COS(RADIANS(LEFT(M131,2)*1)),3)</f>
        <v>1</v>
      </c>
      <c r="U131">
        <f t="shared" ref="U131:U194" si="15">P131+Q131*B$3*T131</f>
        <v>126.10999999999999</v>
      </c>
      <c r="V131">
        <f t="shared" ref="V131:V194" si="16">R131+S131*B$3*T131</f>
        <v>13458</v>
      </c>
      <c r="W131" s="58" t="str">
        <f t="shared" ref="W131:W194" si="17">CONCATENATE(LEFT(M131,2)*1,"° Skew Variable Width Abutment ",RIGHT(M131,2),"% Skewed Wings")</f>
        <v>0° Skew Variable Width Abutment 25% Skewed Wings</v>
      </c>
    </row>
    <row r="132" spans="13:23" x14ac:dyDescent="0.25">
      <c r="M132" t="s">
        <v>124</v>
      </c>
      <c r="N132">
        <v>15</v>
      </c>
      <c r="O132" t="str">
        <f t="shared" si="13"/>
        <v>00_25_15</v>
      </c>
      <c r="P132">
        <v>103.72</v>
      </c>
      <c r="Q132">
        <v>1.86</v>
      </c>
      <c r="R132">
        <v>13000</v>
      </c>
      <c r="S132">
        <v>198.6</v>
      </c>
      <c r="T132">
        <f t="shared" si="14"/>
        <v>1</v>
      </c>
      <c r="U132">
        <f t="shared" si="15"/>
        <v>148.36000000000001</v>
      </c>
      <c r="V132">
        <f t="shared" si="16"/>
        <v>17766.400000000001</v>
      </c>
      <c r="W132" s="58" t="str">
        <f t="shared" si="17"/>
        <v>0° Skew Variable Width Abutment 25% Skewed Wings</v>
      </c>
    </row>
    <row r="133" spans="13:23" x14ac:dyDescent="0.25">
      <c r="M133" t="s">
        <v>124</v>
      </c>
      <c r="N133">
        <v>16</v>
      </c>
      <c r="O133" t="str">
        <f t="shared" si="13"/>
        <v>00_25_16</v>
      </c>
      <c r="P133">
        <v>107.63</v>
      </c>
      <c r="Q133">
        <v>1.93</v>
      </c>
      <c r="R133">
        <v>13000</v>
      </c>
      <c r="S133">
        <v>198.6</v>
      </c>
      <c r="T133">
        <f t="shared" si="14"/>
        <v>1</v>
      </c>
      <c r="U133">
        <f t="shared" si="15"/>
        <v>153.94999999999999</v>
      </c>
      <c r="V133">
        <f t="shared" si="16"/>
        <v>17766.400000000001</v>
      </c>
      <c r="W133" s="58" t="str">
        <f t="shared" si="17"/>
        <v>0° Skew Variable Width Abutment 25% Skewed Wings</v>
      </c>
    </row>
    <row r="134" spans="13:23" x14ac:dyDescent="0.25">
      <c r="M134" t="s">
        <v>125</v>
      </c>
      <c r="N134">
        <v>5</v>
      </c>
      <c r="O134" t="str">
        <f t="shared" si="13"/>
        <v>05_25_5</v>
      </c>
      <c r="P134">
        <v>20.61</v>
      </c>
      <c r="Q134">
        <v>0.71</v>
      </c>
      <c r="R134">
        <v>1993</v>
      </c>
      <c r="S134">
        <v>52.8</v>
      </c>
      <c r="T134">
        <f t="shared" si="14"/>
        <v>1.004</v>
      </c>
      <c r="U134">
        <f t="shared" si="15"/>
        <v>37.718159999999997</v>
      </c>
      <c r="V134">
        <f t="shared" si="16"/>
        <v>3265.2687999999998</v>
      </c>
      <c r="W134" s="58" t="str">
        <f t="shared" si="17"/>
        <v>5° Skew Variable Width Abutment 25% Skewed Wings</v>
      </c>
    </row>
    <row r="135" spans="13:23" x14ac:dyDescent="0.25">
      <c r="M135" t="s">
        <v>125</v>
      </c>
      <c r="N135">
        <v>6</v>
      </c>
      <c r="O135" t="str">
        <f t="shared" si="13"/>
        <v>05_25_6</v>
      </c>
      <c r="P135">
        <v>22.45</v>
      </c>
      <c r="Q135">
        <v>0.78</v>
      </c>
      <c r="R135">
        <v>1993</v>
      </c>
      <c r="S135">
        <v>52.8</v>
      </c>
      <c r="T135">
        <f t="shared" si="14"/>
        <v>1.004</v>
      </c>
      <c r="U135">
        <f t="shared" si="15"/>
        <v>41.244879999999995</v>
      </c>
      <c r="V135">
        <f t="shared" si="16"/>
        <v>3265.2687999999998</v>
      </c>
      <c r="W135" s="58" t="str">
        <f t="shared" si="17"/>
        <v>5° Skew Variable Width Abutment 25% Skewed Wings</v>
      </c>
    </row>
    <row r="136" spans="13:23" x14ac:dyDescent="0.25">
      <c r="M136" t="s">
        <v>125</v>
      </c>
      <c r="N136">
        <v>7</v>
      </c>
      <c r="O136" t="str">
        <f t="shared" si="13"/>
        <v>05_25_7</v>
      </c>
      <c r="P136">
        <v>30.23</v>
      </c>
      <c r="Q136">
        <v>0.93</v>
      </c>
      <c r="R136">
        <v>2857</v>
      </c>
      <c r="S136">
        <v>68.7</v>
      </c>
      <c r="T136">
        <f t="shared" si="14"/>
        <v>1.004</v>
      </c>
      <c r="U136">
        <f t="shared" si="15"/>
        <v>52.639279999999999</v>
      </c>
      <c r="V136">
        <f t="shared" si="16"/>
        <v>4512.3951999999999</v>
      </c>
      <c r="W136" s="58" t="str">
        <f t="shared" si="17"/>
        <v>5° Skew Variable Width Abutment 25% Skewed Wings</v>
      </c>
    </row>
    <row r="137" spans="13:23" x14ac:dyDescent="0.25">
      <c r="M137" t="s">
        <v>125</v>
      </c>
      <c r="N137">
        <v>8</v>
      </c>
      <c r="O137" t="str">
        <f t="shared" si="13"/>
        <v>05_25_8</v>
      </c>
      <c r="P137">
        <v>32.369999999999997</v>
      </c>
      <c r="Q137">
        <v>1.01</v>
      </c>
      <c r="R137">
        <v>2857</v>
      </c>
      <c r="S137">
        <v>68.7</v>
      </c>
      <c r="T137">
        <f t="shared" si="14"/>
        <v>1.004</v>
      </c>
      <c r="U137">
        <f t="shared" si="15"/>
        <v>56.706959999999995</v>
      </c>
      <c r="V137">
        <f t="shared" si="16"/>
        <v>4512.3951999999999</v>
      </c>
      <c r="W137" s="58" t="str">
        <f t="shared" si="17"/>
        <v>5° Skew Variable Width Abutment 25% Skewed Wings</v>
      </c>
    </row>
    <row r="138" spans="13:23" x14ac:dyDescent="0.25">
      <c r="M138" t="s">
        <v>125</v>
      </c>
      <c r="N138">
        <v>9</v>
      </c>
      <c r="O138" t="str">
        <f t="shared" si="13"/>
        <v>05_25_9</v>
      </c>
      <c r="P138">
        <v>46.71</v>
      </c>
      <c r="Q138">
        <v>1.19</v>
      </c>
      <c r="R138">
        <v>4466</v>
      </c>
      <c r="S138">
        <v>91</v>
      </c>
      <c r="T138">
        <f t="shared" si="14"/>
        <v>1.004</v>
      </c>
      <c r="U138">
        <f t="shared" si="15"/>
        <v>75.384240000000005</v>
      </c>
      <c r="V138">
        <f t="shared" si="16"/>
        <v>6658.7359999999999</v>
      </c>
      <c r="W138" s="58" t="str">
        <f t="shared" si="17"/>
        <v>5° Skew Variable Width Abutment 25% Skewed Wings</v>
      </c>
    </row>
    <row r="139" spans="13:23" x14ac:dyDescent="0.25">
      <c r="M139" t="s">
        <v>125</v>
      </c>
      <c r="N139">
        <v>10</v>
      </c>
      <c r="O139" t="str">
        <f t="shared" si="13"/>
        <v>05_25_10</v>
      </c>
      <c r="P139">
        <v>49.36</v>
      </c>
      <c r="Q139">
        <v>1.27</v>
      </c>
      <c r="R139">
        <v>4466</v>
      </c>
      <c r="S139">
        <v>91</v>
      </c>
      <c r="T139">
        <f t="shared" si="14"/>
        <v>1.004</v>
      </c>
      <c r="U139">
        <f t="shared" si="15"/>
        <v>79.961919999999992</v>
      </c>
      <c r="V139">
        <f t="shared" si="16"/>
        <v>6658.7359999999999</v>
      </c>
      <c r="W139" s="58" t="str">
        <f t="shared" si="17"/>
        <v>5° Skew Variable Width Abutment 25% Skewed Wings</v>
      </c>
    </row>
    <row r="140" spans="13:23" x14ac:dyDescent="0.25">
      <c r="M140" t="s">
        <v>125</v>
      </c>
      <c r="N140">
        <v>11</v>
      </c>
      <c r="O140" t="str">
        <f t="shared" si="13"/>
        <v>05_25_11</v>
      </c>
      <c r="P140">
        <v>60.69</v>
      </c>
      <c r="Q140">
        <v>1.41</v>
      </c>
      <c r="R140">
        <v>6377</v>
      </c>
      <c r="S140">
        <v>120.4</v>
      </c>
      <c r="T140">
        <f t="shared" si="14"/>
        <v>1.004</v>
      </c>
      <c r="U140">
        <f t="shared" si="15"/>
        <v>94.665359999999993</v>
      </c>
      <c r="V140">
        <f t="shared" si="16"/>
        <v>9278.1584000000003</v>
      </c>
      <c r="W140" s="58" t="str">
        <f t="shared" si="17"/>
        <v>5° Skew Variable Width Abutment 25% Skewed Wings</v>
      </c>
    </row>
    <row r="141" spans="13:23" x14ac:dyDescent="0.25">
      <c r="M141" t="s">
        <v>125</v>
      </c>
      <c r="N141">
        <v>12</v>
      </c>
      <c r="O141" t="str">
        <f t="shared" si="13"/>
        <v>05_25_12</v>
      </c>
      <c r="P141">
        <v>63.64</v>
      </c>
      <c r="Q141">
        <v>1.49</v>
      </c>
      <c r="R141">
        <v>6377</v>
      </c>
      <c r="S141">
        <v>120.4</v>
      </c>
      <c r="T141">
        <f t="shared" si="14"/>
        <v>1.004</v>
      </c>
      <c r="U141">
        <f t="shared" si="15"/>
        <v>99.543039999999991</v>
      </c>
      <c r="V141">
        <f t="shared" si="16"/>
        <v>9278.1584000000003</v>
      </c>
      <c r="W141" s="58" t="str">
        <f t="shared" si="17"/>
        <v>5° Skew Variable Width Abutment 25% Skewed Wings</v>
      </c>
    </row>
    <row r="142" spans="13:23" x14ac:dyDescent="0.25">
      <c r="M142" t="s">
        <v>125</v>
      </c>
      <c r="N142">
        <v>13</v>
      </c>
      <c r="O142" t="str">
        <f t="shared" si="13"/>
        <v>05_25_13</v>
      </c>
      <c r="P142">
        <v>83.39</v>
      </c>
      <c r="Q142">
        <v>1.64</v>
      </c>
      <c r="R142">
        <v>9769</v>
      </c>
      <c r="S142">
        <v>161</v>
      </c>
      <c r="T142">
        <f t="shared" si="14"/>
        <v>1.004</v>
      </c>
      <c r="U142">
        <f t="shared" si="15"/>
        <v>122.90744000000001</v>
      </c>
      <c r="V142">
        <f t="shared" si="16"/>
        <v>13648.456</v>
      </c>
      <c r="W142" s="58" t="str">
        <f t="shared" si="17"/>
        <v>5° Skew Variable Width Abutment 25% Skewed Wings</v>
      </c>
    </row>
    <row r="143" spans="13:23" x14ac:dyDescent="0.25">
      <c r="M143" t="s">
        <v>125</v>
      </c>
      <c r="N143">
        <v>14</v>
      </c>
      <c r="O143" t="str">
        <f t="shared" si="13"/>
        <v>05_25_14</v>
      </c>
      <c r="P143">
        <v>86.93</v>
      </c>
      <c r="Q143">
        <v>1.71</v>
      </c>
      <c r="R143">
        <v>9769</v>
      </c>
      <c r="S143">
        <v>161</v>
      </c>
      <c r="T143">
        <f t="shared" si="14"/>
        <v>1.004</v>
      </c>
      <c r="U143">
        <f t="shared" si="15"/>
        <v>128.13416000000001</v>
      </c>
      <c r="V143">
        <f t="shared" si="16"/>
        <v>13648.456</v>
      </c>
      <c r="W143" s="58" t="str">
        <f t="shared" si="17"/>
        <v>5° Skew Variable Width Abutment 25% Skewed Wings</v>
      </c>
    </row>
    <row r="144" spans="13:23" x14ac:dyDescent="0.25">
      <c r="M144" t="s">
        <v>125</v>
      </c>
      <c r="N144">
        <v>15</v>
      </c>
      <c r="O144" t="str">
        <f t="shared" si="13"/>
        <v>05_25_15</v>
      </c>
      <c r="P144">
        <v>105.73</v>
      </c>
      <c r="Q144">
        <v>1.86</v>
      </c>
      <c r="R144">
        <v>13211</v>
      </c>
      <c r="S144">
        <v>198.6</v>
      </c>
      <c r="T144">
        <f t="shared" si="14"/>
        <v>1.004</v>
      </c>
      <c r="U144">
        <f t="shared" si="15"/>
        <v>150.54856000000001</v>
      </c>
      <c r="V144">
        <f t="shared" si="16"/>
        <v>17996.4656</v>
      </c>
      <c r="W144" s="58" t="str">
        <f t="shared" si="17"/>
        <v>5° Skew Variable Width Abutment 25% Skewed Wings</v>
      </c>
    </row>
    <row r="145" spans="13:23" x14ac:dyDescent="0.25">
      <c r="M145" t="s">
        <v>125</v>
      </c>
      <c r="N145">
        <v>16</v>
      </c>
      <c r="O145" t="str">
        <f t="shared" si="13"/>
        <v>05_25_16</v>
      </c>
      <c r="P145">
        <v>109.71</v>
      </c>
      <c r="Q145">
        <v>1.93</v>
      </c>
      <c r="R145">
        <v>13211</v>
      </c>
      <c r="S145">
        <v>198.6</v>
      </c>
      <c r="T145">
        <f t="shared" si="14"/>
        <v>1.004</v>
      </c>
      <c r="U145">
        <f t="shared" si="15"/>
        <v>156.21528000000001</v>
      </c>
      <c r="V145">
        <f t="shared" si="16"/>
        <v>17996.4656</v>
      </c>
      <c r="W145" s="58" t="str">
        <f t="shared" si="17"/>
        <v>5° Skew Variable Width Abutment 25% Skewed Wings</v>
      </c>
    </row>
    <row r="146" spans="13:23" x14ac:dyDescent="0.25">
      <c r="M146" t="s">
        <v>126</v>
      </c>
      <c r="N146">
        <v>5</v>
      </c>
      <c r="O146" t="str">
        <f t="shared" si="13"/>
        <v>10_25_5</v>
      </c>
      <c r="P146">
        <v>20.69</v>
      </c>
      <c r="Q146">
        <v>0.71</v>
      </c>
      <c r="R146">
        <v>1998</v>
      </c>
      <c r="S146">
        <v>52.8</v>
      </c>
      <c r="T146">
        <f t="shared" si="14"/>
        <v>1.0149999999999999</v>
      </c>
      <c r="U146">
        <f t="shared" si="15"/>
        <v>37.985599999999998</v>
      </c>
      <c r="V146">
        <f t="shared" si="16"/>
        <v>3284.2079999999996</v>
      </c>
      <c r="W146" s="58" t="str">
        <f t="shared" si="17"/>
        <v>10° Skew Variable Width Abutment 25% Skewed Wings</v>
      </c>
    </row>
    <row r="147" spans="13:23" x14ac:dyDescent="0.25">
      <c r="M147" t="s">
        <v>126</v>
      </c>
      <c r="N147">
        <v>6</v>
      </c>
      <c r="O147" t="str">
        <f t="shared" si="13"/>
        <v>10_25_6</v>
      </c>
      <c r="P147">
        <v>22.53</v>
      </c>
      <c r="Q147">
        <v>0.78</v>
      </c>
      <c r="R147">
        <v>1998</v>
      </c>
      <c r="S147">
        <v>52.8</v>
      </c>
      <c r="T147">
        <f t="shared" si="14"/>
        <v>1.0149999999999999</v>
      </c>
      <c r="U147">
        <f t="shared" si="15"/>
        <v>41.530799999999999</v>
      </c>
      <c r="V147">
        <f t="shared" si="16"/>
        <v>3284.2079999999996</v>
      </c>
      <c r="W147" s="58" t="str">
        <f t="shared" si="17"/>
        <v>10° Skew Variable Width Abutment 25% Skewed Wings</v>
      </c>
    </row>
    <row r="148" spans="13:23" x14ac:dyDescent="0.25">
      <c r="M148" t="s">
        <v>126</v>
      </c>
      <c r="N148">
        <v>7</v>
      </c>
      <c r="O148" t="str">
        <f t="shared" si="13"/>
        <v>10_25_7</v>
      </c>
      <c r="P148">
        <v>30.33</v>
      </c>
      <c r="Q148">
        <v>0.93</v>
      </c>
      <c r="R148">
        <v>2878</v>
      </c>
      <c r="S148">
        <v>68.7</v>
      </c>
      <c r="T148">
        <f t="shared" si="14"/>
        <v>1.0149999999999999</v>
      </c>
      <c r="U148">
        <f t="shared" si="15"/>
        <v>52.984799999999993</v>
      </c>
      <c r="V148">
        <f t="shared" si="16"/>
        <v>4551.5320000000002</v>
      </c>
      <c r="W148" s="58" t="str">
        <f t="shared" si="17"/>
        <v>10° Skew Variable Width Abutment 25% Skewed Wings</v>
      </c>
    </row>
    <row r="149" spans="13:23" x14ac:dyDescent="0.25">
      <c r="M149" t="s">
        <v>126</v>
      </c>
      <c r="N149">
        <v>8</v>
      </c>
      <c r="O149" t="str">
        <f t="shared" si="13"/>
        <v>10_25_8</v>
      </c>
      <c r="P149">
        <v>32.46</v>
      </c>
      <c r="Q149">
        <v>1.01</v>
      </c>
      <c r="R149">
        <v>2878</v>
      </c>
      <c r="S149">
        <v>68.7</v>
      </c>
      <c r="T149">
        <f t="shared" si="14"/>
        <v>1.0149999999999999</v>
      </c>
      <c r="U149">
        <f t="shared" si="15"/>
        <v>57.063600000000001</v>
      </c>
      <c r="V149">
        <f t="shared" si="16"/>
        <v>4551.5320000000002</v>
      </c>
      <c r="W149" s="58" t="str">
        <f t="shared" si="17"/>
        <v>10° Skew Variable Width Abutment 25% Skewed Wings</v>
      </c>
    </row>
    <row r="150" spans="13:23" x14ac:dyDescent="0.25">
      <c r="M150" t="s">
        <v>126</v>
      </c>
      <c r="N150">
        <v>9</v>
      </c>
      <c r="O150" t="str">
        <f t="shared" si="13"/>
        <v>10_25_9</v>
      </c>
      <c r="P150">
        <v>46.82</v>
      </c>
      <c r="Q150">
        <v>1.19</v>
      </c>
      <c r="R150">
        <v>4497</v>
      </c>
      <c r="S150">
        <v>91</v>
      </c>
      <c r="T150">
        <f t="shared" si="14"/>
        <v>1.0149999999999999</v>
      </c>
      <c r="U150">
        <f t="shared" si="15"/>
        <v>75.808399999999992</v>
      </c>
      <c r="V150">
        <f t="shared" si="16"/>
        <v>6713.76</v>
      </c>
      <c r="W150" s="58" t="str">
        <f t="shared" si="17"/>
        <v>10° Skew Variable Width Abutment 25% Skewed Wings</v>
      </c>
    </row>
    <row r="151" spans="13:23" x14ac:dyDescent="0.25">
      <c r="M151" t="s">
        <v>126</v>
      </c>
      <c r="N151">
        <v>10</v>
      </c>
      <c r="O151" t="str">
        <f t="shared" si="13"/>
        <v>10_25_10</v>
      </c>
      <c r="P151">
        <v>49.48</v>
      </c>
      <c r="Q151">
        <v>1.27</v>
      </c>
      <c r="R151">
        <v>4497</v>
      </c>
      <c r="S151">
        <v>91</v>
      </c>
      <c r="T151">
        <f t="shared" si="14"/>
        <v>1.0149999999999999</v>
      </c>
      <c r="U151">
        <f t="shared" si="15"/>
        <v>80.417199999999994</v>
      </c>
      <c r="V151">
        <f t="shared" si="16"/>
        <v>6713.76</v>
      </c>
      <c r="W151" s="58" t="str">
        <f t="shared" si="17"/>
        <v>10° Skew Variable Width Abutment 25% Skewed Wings</v>
      </c>
    </row>
    <row r="152" spans="13:23" x14ac:dyDescent="0.25">
      <c r="M152" t="s">
        <v>126</v>
      </c>
      <c r="N152">
        <v>11</v>
      </c>
      <c r="O152" t="str">
        <f t="shared" si="13"/>
        <v>10_25_11</v>
      </c>
      <c r="P152">
        <v>62.34</v>
      </c>
      <c r="Q152">
        <v>1.41</v>
      </c>
      <c r="R152">
        <v>6520</v>
      </c>
      <c r="S152">
        <v>120.4</v>
      </c>
      <c r="T152">
        <f t="shared" si="14"/>
        <v>1.0149999999999999</v>
      </c>
      <c r="U152">
        <f t="shared" si="15"/>
        <v>96.687600000000003</v>
      </c>
      <c r="V152">
        <f t="shared" si="16"/>
        <v>9452.9439999999995</v>
      </c>
      <c r="W152" s="58" t="str">
        <f t="shared" si="17"/>
        <v>10° Skew Variable Width Abutment 25% Skewed Wings</v>
      </c>
    </row>
    <row r="153" spans="13:23" x14ac:dyDescent="0.25">
      <c r="M153" t="s">
        <v>126</v>
      </c>
      <c r="N153">
        <v>12</v>
      </c>
      <c r="O153" t="str">
        <f t="shared" si="13"/>
        <v>10_25_12</v>
      </c>
      <c r="P153">
        <v>65.36</v>
      </c>
      <c r="Q153">
        <v>1.49</v>
      </c>
      <c r="R153">
        <v>6520</v>
      </c>
      <c r="S153">
        <v>120.4</v>
      </c>
      <c r="T153">
        <f t="shared" si="14"/>
        <v>1.0149999999999999</v>
      </c>
      <c r="U153">
        <f t="shared" si="15"/>
        <v>101.65639999999999</v>
      </c>
      <c r="V153">
        <f t="shared" si="16"/>
        <v>9452.9439999999995</v>
      </c>
      <c r="W153" s="58" t="str">
        <f t="shared" si="17"/>
        <v>10° Skew Variable Width Abutment 25% Skewed Wings</v>
      </c>
    </row>
    <row r="154" spans="13:23" x14ac:dyDescent="0.25">
      <c r="M154" t="s">
        <v>126</v>
      </c>
      <c r="N154">
        <v>13</v>
      </c>
      <c r="O154" t="str">
        <f t="shared" si="13"/>
        <v>10_25_13</v>
      </c>
      <c r="P154">
        <v>83.54</v>
      </c>
      <c r="Q154">
        <v>1.64</v>
      </c>
      <c r="R154">
        <v>9776</v>
      </c>
      <c r="S154">
        <v>161</v>
      </c>
      <c r="T154">
        <f t="shared" si="14"/>
        <v>1.0149999999999999</v>
      </c>
      <c r="U154">
        <f t="shared" si="15"/>
        <v>123.49039999999999</v>
      </c>
      <c r="V154">
        <f t="shared" si="16"/>
        <v>13697.96</v>
      </c>
      <c r="W154" s="58" t="str">
        <f t="shared" si="17"/>
        <v>10° Skew Variable Width Abutment 25% Skewed Wings</v>
      </c>
    </row>
    <row r="155" spans="13:23" x14ac:dyDescent="0.25">
      <c r="M155" t="s">
        <v>126</v>
      </c>
      <c r="N155">
        <v>14</v>
      </c>
      <c r="O155" t="str">
        <f t="shared" si="13"/>
        <v>10_25_14</v>
      </c>
      <c r="P155">
        <v>87.08</v>
      </c>
      <c r="Q155">
        <v>1.71</v>
      </c>
      <c r="R155">
        <v>9776</v>
      </c>
      <c r="S155">
        <v>161</v>
      </c>
      <c r="T155">
        <f t="shared" si="14"/>
        <v>1.0149999999999999</v>
      </c>
      <c r="U155">
        <f t="shared" si="15"/>
        <v>128.73559999999998</v>
      </c>
      <c r="V155">
        <f t="shared" si="16"/>
        <v>13697.96</v>
      </c>
      <c r="W155" s="58" t="str">
        <f t="shared" si="17"/>
        <v>10° Skew Variable Width Abutment 25% Skewed Wings</v>
      </c>
    </row>
    <row r="156" spans="13:23" x14ac:dyDescent="0.25">
      <c r="M156" t="s">
        <v>126</v>
      </c>
      <c r="N156">
        <v>15</v>
      </c>
      <c r="O156" t="str">
        <f t="shared" si="13"/>
        <v>10_25_15</v>
      </c>
      <c r="P156">
        <v>105.9</v>
      </c>
      <c r="Q156">
        <v>1.86</v>
      </c>
      <c r="R156">
        <v>13292</v>
      </c>
      <c r="S156">
        <v>198.6</v>
      </c>
      <c r="T156">
        <f t="shared" si="14"/>
        <v>1.0149999999999999</v>
      </c>
      <c r="U156">
        <f t="shared" si="15"/>
        <v>151.20959999999999</v>
      </c>
      <c r="V156">
        <f t="shared" si="16"/>
        <v>18129.896000000001</v>
      </c>
      <c r="W156" s="58" t="str">
        <f t="shared" si="17"/>
        <v>10° Skew Variable Width Abutment 25% Skewed Wings</v>
      </c>
    </row>
    <row r="157" spans="13:23" x14ac:dyDescent="0.25">
      <c r="M157" t="s">
        <v>126</v>
      </c>
      <c r="N157">
        <v>16</v>
      </c>
      <c r="O157" t="str">
        <f t="shared" si="13"/>
        <v>10_25_16</v>
      </c>
      <c r="P157">
        <v>109.89</v>
      </c>
      <c r="Q157">
        <v>1.93</v>
      </c>
      <c r="R157">
        <v>13292</v>
      </c>
      <c r="S157">
        <v>198.6</v>
      </c>
      <c r="T157">
        <f t="shared" si="14"/>
        <v>1.0149999999999999</v>
      </c>
      <c r="U157">
        <f t="shared" si="15"/>
        <v>156.90479999999999</v>
      </c>
      <c r="V157">
        <f t="shared" si="16"/>
        <v>18129.896000000001</v>
      </c>
      <c r="W157" s="58" t="str">
        <f t="shared" si="17"/>
        <v>10° Skew Variable Width Abutment 25% Skewed Wings</v>
      </c>
    </row>
    <row r="158" spans="13:23" x14ac:dyDescent="0.25">
      <c r="M158" t="s">
        <v>127</v>
      </c>
      <c r="N158">
        <v>5</v>
      </c>
      <c r="O158" t="str">
        <f t="shared" si="13"/>
        <v>15_25_5</v>
      </c>
      <c r="P158">
        <v>20.81</v>
      </c>
      <c r="Q158">
        <v>0.71</v>
      </c>
      <c r="R158">
        <v>2021</v>
      </c>
      <c r="S158">
        <v>52.8</v>
      </c>
      <c r="T158">
        <f t="shared" si="14"/>
        <v>1.0349999999999999</v>
      </c>
      <c r="U158">
        <f t="shared" si="15"/>
        <v>38.446399999999997</v>
      </c>
      <c r="V158">
        <f t="shared" si="16"/>
        <v>3332.5519999999997</v>
      </c>
      <c r="W158" s="58" t="str">
        <f t="shared" si="17"/>
        <v>15° Skew Variable Width Abutment 25% Skewed Wings</v>
      </c>
    </row>
    <row r="159" spans="13:23" x14ac:dyDescent="0.25">
      <c r="M159" t="s">
        <v>127</v>
      </c>
      <c r="N159">
        <v>6</v>
      </c>
      <c r="O159" t="str">
        <f t="shared" si="13"/>
        <v>15_25_6</v>
      </c>
      <c r="P159">
        <v>22.67</v>
      </c>
      <c r="Q159">
        <v>0.78</v>
      </c>
      <c r="R159">
        <v>2021</v>
      </c>
      <c r="S159">
        <v>52.8</v>
      </c>
      <c r="T159">
        <f t="shared" si="14"/>
        <v>1.0349999999999999</v>
      </c>
      <c r="U159">
        <f t="shared" si="15"/>
        <v>42.045199999999994</v>
      </c>
      <c r="V159">
        <f t="shared" si="16"/>
        <v>3332.5519999999997</v>
      </c>
      <c r="W159" s="58" t="str">
        <f t="shared" si="17"/>
        <v>15° Skew Variable Width Abutment 25% Skewed Wings</v>
      </c>
    </row>
    <row r="160" spans="13:23" x14ac:dyDescent="0.25">
      <c r="M160" t="s">
        <v>127</v>
      </c>
      <c r="N160">
        <v>7</v>
      </c>
      <c r="O160" t="str">
        <f t="shared" si="13"/>
        <v>15_25_7</v>
      </c>
      <c r="P160">
        <v>31.51</v>
      </c>
      <c r="Q160">
        <v>0.93</v>
      </c>
      <c r="R160">
        <v>2974</v>
      </c>
      <c r="S160">
        <v>68.7</v>
      </c>
      <c r="T160">
        <f t="shared" si="14"/>
        <v>1.0349999999999999</v>
      </c>
      <c r="U160">
        <f t="shared" si="15"/>
        <v>54.611199999999997</v>
      </c>
      <c r="V160">
        <f t="shared" si="16"/>
        <v>4680.5079999999998</v>
      </c>
      <c r="W160" s="58" t="str">
        <f t="shared" si="17"/>
        <v>15° Skew Variable Width Abutment 25% Skewed Wings</v>
      </c>
    </row>
    <row r="161" spans="13:23" x14ac:dyDescent="0.25">
      <c r="M161" t="s">
        <v>127</v>
      </c>
      <c r="N161">
        <v>8</v>
      </c>
      <c r="O161" t="str">
        <f t="shared" si="13"/>
        <v>15_25_8</v>
      </c>
      <c r="P161">
        <v>33.729999999999997</v>
      </c>
      <c r="Q161">
        <v>1.01</v>
      </c>
      <c r="R161">
        <v>2974</v>
      </c>
      <c r="S161">
        <v>68.7</v>
      </c>
      <c r="T161">
        <f t="shared" si="14"/>
        <v>1.0349999999999999</v>
      </c>
      <c r="U161">
        <f t="shared" si="15"/>
        <v>58.818399999999997</v>
      </c>
      <c r="V161">
        <f t="shared" si="16"/>
        <v>4680.5079999999998</v>
      </c>
      <c r="W161" s="58" t="str">
        <f t="shared" si="17"/>
        <v>15° Skew Variable Width Abutment 25% Skewed Wings</v>
      </c>
    </row>
    <row r="162" spans="13:23" x14ac:dyDescent="0.25">
      <c r="M162" t="s">
        <v>127</v>
      </c>
      <c r="N162">
        <v>9</v>
      </c>
      <c r="O162" t="str">
        <f t="shared" si="13"/>
        <v>15_25_9</v>
      </c>
      <c r="P162">
        <v>47.01</v>
      </c>
      <c r="Q162">
        <v>1.19</v>
      </c>
      <c r="R162">
        <v>4510</v>
      </c>
      <c r="S162">
        <v>91</v>
      </c>
      <c r="T162">
        <f t="shared" si="14"/>
        <v>1.0349999999999999</v>
      </c>
      <c r="U162">
        <f t="shared" si="15"/>
        <v>76.569599999999994</v>
      </c>
      <c r="V162">
        <f t="shared" si="16"/>
        <v>6770.44</v>
      </c>
      <c r="W162" s="58" t="str">
        <f t="shared" si="17"/>
        <v>15° Skew Variable Width Abutment 25% Skewed Wings</v>
      </c>
    </row>
    <row r="163" spans="13:23" x14ac:dyDescent="0.25">
      <c r="M163" t="s">
        <v>127</v>
      </c>
      <c r="N163">
        <v>10</v>
      </c>
      <c r="O163" t="str">
        <f t="shared" si="13"/>
        <v>15_25_10</v>
      </c>
      <c r="P163">
        <v>49.68</v>
      </c>
      <c r="Q163">
        <v>1.27</v>
      </c>
      <c r="R163">
        <v>4510</v>
      </c>
      <c r="S163">
        <v>91</v>
      </c>
      <c r="T163">
        <f t="shared" si="14"/>
        <v>1.0349999999999999</v>
      </c>
      <c r="U163">
        <f t="shared" si="15"/>
        <v>81.226799999999997</v>
      </c>
      <c r="V163">
        <f t="shared" si="16"/>
        <v>6770.44</v>
      </c>
      <c r="W163" s="58" t="str">
        <f t="shared" si="17"/>
        <v>15° Skew Variable Width Abutment 25% Skewed Wings</v>
      </c>
    </row>
    <row r="164" spans="13:23" x14ac:dyDescent="0.25">
      <c r="M164" t="s">
        <v>127</v>
      </c>
      <c r="N164">
        <v>11</v>
      </c>
      <c r="O164" t="str">
        <f t="shared" si="13"/>
        <v>15_25_11</v>
      </c>
      <c r="P164">
        <v>62.56</v>
      </c>
      <c r="Q164">
        <v>1.41</v>
      </c>
      <c r="R164">
        <v>6573</v>
      </c>
      <c r="S164">
        <v>120.4</v>
      </c>
      <c r="T164">
        <f t="shared" si="14"/>
        <v>1.0349999999999999</v>
      </c>
      <c r="U164">
        <f t="shared" si="15"/>
        <v>97.584399999999988</v>
      </c>
      <c r="V164">
        <f t="shared" si="16"/>
        <v>9563.7360000000008</v>
      </c>
      <c r="W164" s="58" t="str">
        <f t="shared" si="17"/>
        <v>15° Skew Variable Width Abutment 25% Skewed Wings</v>
      </c>
    </row>
    <row r="165" spans="13:23" x14ac:dyDescent="0.25">
      <c r="M165" t="s">
        <v>127</v>
      </c>
      <c r="N165">
        <v>12</v>
      </c>
      <c r="O165" t="str">
        <f t="shared" si="13"/>
        <v>15_25_12</v>
      </c>
      <c r="P165">
        <v>65.599999999999994</v>
      </c>
      <c r="Q165">
        <v>1.49</v>
      </c>
      <c r="R165">
        <v>6573</v>
      </c>
      <c r="S165">
        <v>120.4</v>
      </c>
      <c r="T165">
        <f t="shared" si="14"/>
        <v>1.0349999999999999</v>
      </c>
      <c r="U165">
        <f t="shared" si="15"/>
        <v>102.61159999999998</v>
      </c>
      <c r="V165">
        <f t="shared" si="16"/>
        <v>9563.7360000000008</v>
      </c>
      <c r="W165" s="58" t="str">
        <f t="shared" si="17"/>
        <v>15° Skew Variable Width Abutment 25% Skewed Wings</v>
      </c>
    </row>
    <row r="166" spans="13:23" x14ac:dyDescent="0.25">
      <c r="M166" t="s">
        <v>127</v>
      </c>
      <c r="N166">
        <v>13</v>
      </c>
      <c r="O166" t="str">
        <f t="shared" si="13"/>
        <v>15_25_13</v>
      </c>
      <c r="P166">
        <v>83.79</v>
      </c>
      <c r="Q166">
        <v>1.64</v>
      </c>
      <c r="R166">
        <v>9849</v>
      </c>
      <c r="S166">
        <v>161</v>
      </c>
      <c r="T166">
        <f t="shared" si="14"/>
        <v>1.0349999999999999</v>
      </c>
      <c r="U166">
        <f t="shared" si="15"/>
        <v>124.52760000000001</v>
      </c>
      <c r="V166">
        <f t="shared" si="16"/>
        <v>13848.24</v>
      </c>
      <c r="W166" s="58" t="str">
        <f t="shared" si="17"/>
        <v>15° Skew Variable Width Abutment 25% Skewed Wings</v>
      </c>
    </row>
    <row r="167" spans="13:23" x14ac:dyDescent="0.25">
      <c r="M167" t="s">
        <v>127</v>
      </c>
      <c r="N167">
        <v>14</v>
      </c>
      <c r="O167" t="str">
        <f t="shared" si="13"/>
        <v>15_25_14</v>
      </c>
      <c r="P167">
        <v>87.35</v>
      </c>
      <c r="Q167">
        <v>1.71</v>
      </c>
      <c r="R167">
        <v>9849</v>
      </c>
      <c r="S167">
        <v>161</v>
      </c>
      <c r="T167">
        <f t="shared" si="14"/>
        <v>1.0349999999999999</v>
      </c>
      <c r="U167">
        <f t="shared" si="15"/>
        <v>129.82639999999998</v>
      </c>
      <c r="V167">
        <f t="shared" si="16"/>
        <v>13848.24</v>
      </c>
      <c r="W167" s="58" t="str">
        <f t="shared" si="17"/>
        <v>15° Skew Variable Width Abutment 25% Skewed Wings</v>
      </c>
    </row>
    <row r="168" spans="13:23" x14ac:dyDescent="0.25">
      <c r="M168" t="s">
        <v>127</v>
      </c>
      <c r="N168">
        <v>15</v>
      </c>
      <c r="O168" t="str">
        <f t="shared" si="13"/>
        <v>15_25_15</v>
      </c>
      <c r="P168">
        <v>106.18</v>
      </c>
      <c r="Q168">
        <v>1.86</v>
      </c>
      <c r="R168">
        <v>13311</v>
      </c>
      <c r="S168">
        <v>198.6</v>
      </c>
      <c r="T168">
        <f t="shared" si="14"/>
        <v>1.0349999999999999</v>
      </c>
      <c r="U168">
        <f t="shared" si="15"/>
        <v>152.38240000000002</v>
      </c>
      <c r="V168">
        <f t="shared" si="16"/>
        <v>18244.223999999998</v>
      </c>
      <c r="W168" s="58" t="str">
        <f t="shared" si="17"/>
        <v>15° Skew Variable Width Abutment 25% Skewed Wings</v>
      </c>
    </row>
    <row r="169" spans="13:23" x14ac:dyDescent="0.25">
      <c r="M169" t="s">
        <v>127</v>
      </c>
      <c r="N169">
        <v>16</v>
      </c>
      <c r="O169" t="str">
        <f t="shared" si="13"/>
        <v>15_25_16</v>
      </c>
      <c r="P169">
        <v>110.18</v>
      </c>
      <c r="Q169">
        <v>1.93</v>
      </c>
      <c r="R169">
        <v>13311</v>
      </c>
      <c r="S169">
        <v>198.6</v>
      </c>
      <c r="T169">
        <f t="shared" si="14"/>
        <v>1.0349999999999999</v>
      </c>
      <c r="U169">
        <f t="shared" si="15"/>
        <v>158.12119999999999</v>
      </c>
      <c r="V169">
        <f t="shared" si="16"/>
        <v>18244.223999999998</v>
      </c>
      <c r="W169" s="58" t="str">
        <f t="shared" si="17"/>
        <v>15° Skew Variable Width Abutment 25% Skewed Wings</v>
      </c>
    </row>
    <row r="170" spans="13:23" x14ac:dyDescent="0.25">
      <c r="M170" t="s">
        <v>128</v>
      </c>
      <c r="N170">
        <v>5</v>
      </c>
      <c r="O170" t="str">
        <f t="shared" si="13"/>
        <v>20_25_5</v>
      </c>
      <c r="P170">
        <v>21.8</v>
      </c>
      <c r="Q170">
        <f>Q158</f>
        <v>0.71</v>
      </c>
      <c r="R170">
        <v>2101</v>
      </c>
      <c r="S170">
        <f>S158</f>
        <v>52.8</v>
      </c>
      <c r="T170">
        <f t="shared" si="14"/>
        <v>1.0640000000000001</v>
      </c>
      <c r="U170">
        <f t="shared" si="15"/>
        <v>39.93056</v>
      </c>
      <c r="V170">
        <f t="shared" si="16"/>
        <v>3449.3008</v>
      </c>
      <c r="W170" s="58" t="str">
        <f t="shared" si="17"/>
        <v>20° Skew Variable Width Abutment 25% Skewed Wings</v>
      </c>
    </row>
    <row r="171" spans="13:23" x14ac:dyDescent="0.25">
      <c r="M171" t="s">
        <v>128</v>
      </c>
      <c r="N171">
        <v>6</v>
      </c>
      <c r="O171" t="str">
        <f t="shared" si="13"/>
        <v>20_25_6</v>
      </c>
      <c r="P171">
        <v>23.74</v>
      </c>
      <c r="Q171">
        <f t="shared" ref="Q171:Q234" si="18">Q159</f>
        <v>0.78</v>
      </c>
      <c r="R171">
        <v>2101</v>
      </c>
      <c r="S171">
        <f t="shared" ref="S171:S234" si="19">S159</f>
        <v>52.8</v>
      </c>
      <c r="T171">
        <f t="shared" si="14"/>
        <v>1.0640000000000001</v>
      </c>
      <c r="U171">
        <f t="shared" si="15"/>
        <v>43.658079999999998</v>
      </c>
      <c r="V171">
        <f t="shared" si="16"/>
        <v>3449.3008</v>
      </c>
      <c r="W171" s="58" t="str">
        <f t="shared" si="17"/>
        <v>20° Skew Variable Width Abutment 25% Skewed Wings</v>
      </c>
    </row>
    <row r="172" spans="13:23" x14ac:dyDescent="0.25">
      <c r="M172" t="s">
        <v>128</v>
      </c>
      <c r="N172">
        <v>7</v>
      </c>
      <c r="O172" t="str">
        <f t="shared" si="13"/>
        <v>20_25_7</v>
      </c>
      <c r="P172">
        <v>32.76</v>
      </c>
      <c r="Q172">
        <f t="shared" si="18"/>
        <v>0.93</v>
      </c>
      <c r="R172">
        <v>3071</v>
      </c>
      <c r="S172">
        <f t="shared" si="19"/>
        <v>68.7</v>
      </c>
      <c r="T172">
        <f t="shared" si="14"/>
        <v>1.0640000000000001</v>
      </c>
      <c r="U172">
        <f t="shared" si="15"/>
        <v>56.508479999999999</v>
      </c>
      <c r="V172">
        <f t="shared" si="16"/>
        <v>4825.3232000000007</v>
      </c>
      <c r="W172" s="58" t="str">
        <f t="shared" si="17"/>
        <v>20° Skew Variable Width Abutment 25% Skewed Wings</v>
      </c>
    </row>
    <row r="173" spans="13:23" x14ac:dyDescent="0.25">
      <c r="M173" t="s">
        <v>128</v>
      </c>
      <c r="N173">
        <v>8</v>
      </c>
      <c r="O173" t="str">
        <f t="shared" si="13"/>
        <v>20_25_8</v>
      </c>
      <c r="P173">
        <v>35.08</v>
      </c>
      <c r="Q173">
        <f t="shared" si="18"/>
        <v>1.01</v>
      </c>
      <c r="R173">
        <v>3071</v>
      </c>
      <c r="S173">
        <f t="shared" si="19"/>
        <v>68.7</v>
      </c>
      <c r="T173">
        <f t="shared" si="14"/>
        <v>1.0640000000000001</v>
      </c>
      <c r="U173">
        <f t="shared" si="15"/>
        <v>60.871360000000003</v>
      </c>
      <c r="V173">
        <f t="shared" si="16"/>
        <v>4825.3232000000007</v>
      </c>
      <c r="W173" s="58" t="str">
        <f t="shared" si="17"/>
        <v>20° Skew Variable Width Abutment 25% Skewed Wings</v>
      </c>
    </row>
    <row r="174" spans="13:23" x14ac:dyDescent="0.25">
      <c r="M174" t="s">
        <v>128</v>
      </c>
      <c r="N174">
        <v>9</v>
      </c>
      <c r="O174" t="str">
        <f t="shared" si="13"/>
        <v>20_25_9</v>
      </c>
      <c r="P174">
        <v>48.58</v>
      </c>
      <c r="Q174">
        <f t="shared" si="18"/>
        <v>1.19</v>
      </c>
      <c r="R174">
        <v>4633</v>
      </c>
      <c r="S174">
        <f t="shared" si="19"/>
        <v>91</v>
      </c>
      <c r="T174">
        <f t="shared" si="14"/>
        <v>1.0640000000000001</v>
      </c>
      <c r="U174">
        <f t="shared" si="15"/>
        <v>78.967839999999995</v>
      </c>
      <c r="V174">
        <f t="shared" si="16"/>
        <v>6956.7759999999998</v>
      </c>
      <c r="W174" s="58" t="str">
        <f t="shared" si="17"/>
        <v>20° Skew Variable Width Abutment 25% Skewed Wings</v>
      </c>
    </row>
    <row r="175" spans="13:23" x14ac:dyDescent="0.25">
      <c r="M175" t="s">
        <v>128</v>
      </c>
      <c r="N175">
        <v>10</v>
      </c>
      <c r="O175" t="str">
        <f t="shared" si="13"/>
        <v>20_25_10</v>
      </c>
      <c r="P175">
        <v>51.34</v>
      </c>
      <c r="Q175">
        <f t="shared" si="18"/>
        <v>1.27</v>
      </c>
      <c r="R175">
        <v>4633</v>
      </c>
      <c r="S175">
        <f t="shared" si="19"/>
        <v>91</v>
      </c>
      <c r="T175">
        <f t="shared" si="14"/>
        <v>1.0640000000000001</v>
      </c>
      <c r="U175">
        <f t="shared" si="15"/>
        <v>83.770720000000011</v>
      </c>
      <c r="V175">
        <f t="shared" si="16"/>
        <v>6956.7759999999998</v>
      </c>
      <c r="W175" s="58" t="str">
        <f t="shared" si="17"/>
        <v>20° Skew Variable Width Abutment 25% Skewed Wings</v>
      </c>
    </row>
    <row r="176" spans="13:23" x14ac:dyDescent="0.25">
      <c r="M176" t="s">
        <v>128</v>
      </c>
      <c r="N176">
        <v>11</v>
      </c>
      <c r="O176" t="str">
        <f t="shared" si="13"/>
        <v>20_25_11</v>
      </c>
      <c r="P176">
        <v>64.400000000000006</v>
      </c>
      <c r="Q176">
        <f t="shared" si="18"/>
        <v>1.41</v>
      </c>
      <c r="R176">
        <v>6687</v>
      </c>
      <c r="S176">
        <f t="shared" si="19"/>
        <v>120.4</v>
      </c>
      <c r="T176">
        <f t="shared" si="14"/>
        <v>1.0640000000000001</v>
      </c>
      <c r="U176">
        <f t="shared" si="15"/>
        <v>100.40576</v>
      </c>
      <c r="V176">
        <f t="shared" si="16"/>
        <v>9761.5344000000005</v>
      </c>
      <c r="W176" s="58" t="str">
        <f t="shared" si="17"/>
        <v>20° Skew Variable Width Abutment 25% Skewed Wings</v>
      </c>
    </row>
    <row r="177" spans="13:23" x14ac:dyDescent="0.25">
      <c r="M177" t="s">
        <v>128</v>
      </c>
      <c r="N177">
        <v>12</v>
      </c>
      <c r="O177" t="str">
        <f t="shared" si="13"/>
        <v>20_25_12</v>
      </c>
      <c r="P177">
        <v>67.52</v>
      </c>
      <c r="Q177">
        <f t="shared" si="18"/>
        <v>1.49</v>
      </c>
      <c r="R177">
        <v>6687</v>
      </c>
      <c r="S177">
        <f t="shared" si="19"/>
        <v>120.4</v>
      </c>
      <c r="T177">
        <f t="shared" si="14"/>
        <v>1.0640000000000001</v>
      </c>
      <c r="U177">
        <f t="shared" si="15"/>
        <v>105.56863999999999</v>
      </c>
      <c r="V177">
        <f t="shared" si="16"/>
        <v>9761.5344000000005</v>
      </c>
      <c r="W177" s="58" t="str">
        <f t="shared" si="17"/>
        <v>20° Skew Variable Width Abutment 25% Skewed Wings</v>
      </c>
    </row>
    <row r="178" spans="13:23" x14ac:dyDescent="0.25">
      <c r="M178" t="s">
        <v>128</v>
      </c>
      <c r="N178">
        <v>13</v>
      </c>
      <c r="O178" t="str">
        <f t="shared" si="13"/>
        <v>20_25_13</v>
      </c>
      <c r="P178">
        <v>85.9</v>
      </c>
      <c r="Q178">
        <f t="shared" si="18"/>
        <v>1.64</v>
      </c>
      <c r="R178">
        <v>10046</v>
      </c>
      <c r="S178">
        <f t="shared" si="19"/>
        <v>161</v>
      </c>
      <c r="T178">
        <f t="shared" si="14"/>
        <v>1.0640000000000001</v>
      </c>
      <c r="U178">
        <f t="shared" si="15"/>
        <v>127.77904000000001</v>
      </c>
      <c r="V178">
        <f t="shared" si="16"/>
        <v>14157.296</v>
      </c>
      <c r="W178" s="58" t="str">
        <f t="shared" si="17"/>
        <v>20° Skew Variable Width Abutment 25% Skewed Wings</v>
      </c>
    </row>
    <row r="179" spans="13:23" x14ac:dyDescent="0.25">
      <c r="M179" t="s">
        <v>128</v>
      </c>
      <c r="N179">
        <v>14</v>
      </c>
      <c r="O179" t="str">
        <f t="shared" si="13"/>
        <v>20_25_14</v>
      </c>
      <c r="P179">
        <v>89.54</v>
      </c>
      <c r="Q179">
        <f t="shared" si="18"/>
        <v>1.71</v>
      </c>
      <c r="R179">
        <v>10046</v>
      </c>
      <c r="S179">
        <f t="shared" si="19"/>
        <v>161</v>
      </c>
      <c r="T179">
        <f t="shared" si="14"/>
        <v>1.0640000000000001</v>
      </c>
      <c r="U179">
        <f t="shared" si="15"/>
        <v>133.20656000000002</v>
      </c>
      <c r="V179">
        <f t="shared" si="16"/>
        <v>14157.296</v>
      </c>
      <c r="W179" s="58" t="str">
        <f t="shared" si="17"/>
        <v>20° Skew Variable Width Abutment 25% Skewed Wings</v>
      </c>
    </row>
    <row r="180" spans="13:23" x14ac:dyDescent="0.25">
      <c r="M180" t="s">
        <v>128</v>
      </c>
      <c r="N180">
        <v>15</v>
      </c>
      <c r="O180" t="str">
        <f t="shared" si="13"/>
        <v>20_25_15</v>
      </c>
      <c r="P180">
        <v>108.56</v>
      </c>
      <c r="Q180">
        <f t="shared" si="18"/>
        <v>1.86</v>
      </c>
      <c r="R180">
        <v>13545</v>
      </c>
      <c r="S180">
        <f t="shared" si="19"/>
        <v>198.6</v>
      </c>
      <c r="T180">
        <f t="shared" si="14"/>
        <v>1.0640000000000001</v>
      </c>
      <c r="U180">
        <f t="shared" si="15"/>
        <v>156.05696</v>
      </c>
      <c r="V180">
        <f t="shared" si="16"/>
        <v>18616.4496</v>
      </c>
      <c r="W180" s="58" t="str">
        <f t="shared" si="17"/>
        <v>20° Skew Variable Width Abutment 25% Skewed Wings</v>
      </c>
    </row>
    <row r="181" spans="13:23" x14ac:dyDescent="0.25">
      <c r="M181" t="s">
        <v>128</v>
      </c>
      <c r="N181">
        <v>16</v>
      </c>
      <c r="O181" t="str">
        <f t="shared" si="13"/>
        <v>20_25_16</v>
      </c>
      <c r="P181">
        <v>112.65</v>
      </c>
      <c r="Q181">
        <f t="shared" si="18"/>
        <v>1.93</v>
      </c>
      <c r="R181">
        <v>13545</v>
      </c>
      <c r="S181">
        <f t="shared" si="19"/>
        <v>198.6</v>
      </c>
      <c r="T181">
        <f t="shared" si="14"/>
        <v>1.0640000000000001</v>
      </c>
      <c r="U181">
        <f t="shared" si="15"/>
        <v>161.93448000000001</v>
      </c>
      <c r="V181">
        <f t="shared" si="16"/>
        <v>18616.4496</v>
      </c>
      <c r="W181" s="58" t="str">
        <f t="shared" si="17"/>
        <v>20° Skew Variable Width Abutment 25% Skewed Wings</v>
      </c>
    </row>
    <row r="182" spans="13:23" x14ac:dyDescent="0.25">
      <c r="M182" t="s">
        <v>129</v>
      </c>
      <c r="N182">
        <v>5</v>
      </c>
      <c r="O182" t="str">
        <f t="shared" si="13"/>
        <v>25_25_5</v>
      </c>
      <c r="P182">
        <v>22.04</v>
      </c>
      <c r="Q182">
        <f t="shared" si="18"/>
        <v>0.71</v>
      </c>
      <c r="R182">
        <v>2131</v>
      </c>
      <c r="S182">
        <f t="shared" si="19"/>
        <v>52.8</v>
      </c>
      <c r="T182">
        <f t="shared" si="14"/>
        <v>1.103</v>
      </c>
      <c r="U182">
        <f t="shared" si="15"/>
        <v>40.835119999999996</v>
      </c>
      <c r="V182">
        <f t="shared" si="16"/>
        <v>3528.7215999999999</v>
      </c>
      <c r="W182" s="58" t="str">
        <f t="shared" si="17"/>
        <v>25° Skew Variable Width Abutment 25% Skewed Wings</v>
      </c>
    </row>
    <row r="183" spans="13:23" x14ac:dyDescent="0.25">
      <c r="M183" t="s">
        <v>129</v>
      </c>
      <c r="N183">
        <v>6</v>
      </c>
      <c r="O183" t="str">
        <f t="shared" si="13"/>
        <v>25_25_6</v>
      </c>
      <c r="P183">
        <v>24.01</v>
      </c>
      <c r="Q183">
        <f t="shared" si="18"/>
        <v>0.78</v>
      </c>
      <c r="R183">
        <v>2131</v>
      </c>
      <c r="S183">
        <f t="shared" si="19"/>
        <v>52.8</v>
      </c>
      <c r="T183">
        <f t="shared" si="14"/>
        <v>1.103</v>
      </c>
      <c r="U183">
        <f t="shared" si="15"/>
        <v>44.658159999999995</v>
      </c>
      <c r="V183">
        <f t="shared" si="16"/>
        <v>3528.7215999999999</v>
      </c>
      <c r="W183" s="58" t="str">
        <f t="shared" si="17"/>
        <v>25° Skew Variable Width Abutment 25% Skewed Wings</v>
      </c>
    </row>
    <row r="184" spans="13:23" x14ac:dyDescent="0.25">
      <c r="M184" t="s">
        <v>129</v>
      </c>
      <c r="N184">
        <v>7</v>
      </c>
      <c r="O184" t="str">
        <f t="shared" si="13"/>
        <v>25_25_7</v>
      </c>
      <c r="P184">
        <v>34.1</v>
      </c>
      <c r="Q184">
        <f t="shared" si="18"/>
        <v>0.93</v>
      </c>
      <c r="R184">
        <v>3195</v>
      </c>
      <c r="S184">
        <f t="shared" si="19"/>
        <v>68.7</v>
      </c>
      <c r="T184">
        <f t="shared" si="14"/>
        <v>1.103</v>
      </c>
      <c r="U184">
        <f t="shared" si="15"/>
        <v>58.718960000000003</v>
      </c>
      <c r="V184">
        <f t="shared" si="16"/>
        <v>5013.6264000000001</v>
      </c>
      <c r="W184" s="58" t="str">
        <f t="shared" si="17"/>
        <v>25° Skew Variable Width Abutment 25% Skewed Wings</v>
      </c>
    </row>
    <row r="185" spans="13:23" x14ac:dyDescent="0.25">
      <c r="M185" t="s">
        <v>129</v>
      </c>
      <c r="N185">
        <v>8</v>
      </c>
      <c r="O185" t="str">
        <f t="shared" si="13"/>
        <v>25_25_8</v>
      </c>
      <c r="P185">
        <v>36.51</v>
      </c>
      <c r="Q185">
        <f t="shared" si="18"/>
        <v>1.01</v>
      </c>
      <c r="R185">
        <v>3195</v>
      </c>
      <c r="S185">
        <f t="shared" si="19"/>
        <v>68.7</v>
      </c>
      <c r="T185">
        <f t="shared" si="14"/>
        <v>1.103</v>
      </c>
      <c r="U185">
        <f t="shared" si="15"/>
        <v>63.246719999999996</v>
      </c>
      <c r="V185">
        <f t="shared" si="16"/>
        <v>5013.6264000000001</v>
      </c>
      <c r="W185" s="58" t="str">
        <f t="shared" si="17"/>
        <v>25° Skew Variable Width Abutment 25% Skewed Wings</v>
      </c>
    </row>
    <row r="186" spans="13:23" x14ac:dyDescent="0.25">
      <c r="M186" t="s">
        <v>129</v>
      </c>
      <c r="N186">
        <v>9</v>
      </c>
      <c r="O186" t="str">
        <f t="shared" si="13"/>
        <v>25_25_9</v>
      </c>
      <c r="P186">
        <v>50.24</v>
      </c>
      <c r="Q186">
        <f t="shared" si="18"/>
        <v>1.19</v>
      </c>
      <c r="R186">
        <v>4790</v>
      </c>
      <c r="S186">
        <f t="shared" si="19"/>
        <v>91</v>
      </c>
      <c r="T186">
        <f t="shared" si="14"/>
        <v>1.103</v>
      </c>
      <c r="U186">
        <f t="shared" si="15"/>
        <v>81.741680000000002</v>
      </c>
      <c r="V186">
        <f t="shared" si="16"/>
        <v>7198.9519999999993</v>
      </c>
      <c r="W186" s="58" t="str">
        <f t="shared" si="17"/>
        <v>25° Skew Variable Width Abutment 25% Skewed Wings</v>
      </c>
    </row>
    <row r="187" spans="13:23" x14ac:dyDescent="0.25">
      <c r="M187" t="s">
        <v>129</v>
      </c>
      <c r="N187">
        <v>10</v>
      </c>
      <c r="O187" t="str">
        <f t="shared" si="13"/>
        <v>25_25_10</v>
      </c>
      <c r="P187">
        <v>63.1</v>
      </c>
      <c r="Q187">
        <f t="shared" si="18"/>
        <v>1.27</v>
      </c>
      <c r="R187">
        <v>4790</v>
      </c>
      <c r="S187">
        <f t="shared" si="19"/>
        <v>91</v>
      </c>
      <c r="T187">
        <f t="shared" si="14"/>
        <v>1.103</v>
      </c>
      <c r="U187">
        <f t="shared" si="15"/>
        <v>96.719439999999992</v>
      </c>
      <c r="V187">
        <f t="shared" si="16"/>
        <v>7198.9519999999993</v>
      </c>
      <c r="W187" s="58" t="str">
        <f t="shared" si="17"/>
        <v>25° Skew Variable Width Abutment 25% Skewed Wings</v>
      </c>
    </row>
    <row r="188" spans="13:23" x14ac:dyDescent="0.25">
      <c r="M188" t="s">
        <v>129</v>
      </c>
      <c r="N188">
        <v>11</v>
      </c>
      <c r="O188" t="str">
        <f t="shared" si="13"/>
        <v>25_25_11</v>
      </c>
      <c r="P188">
        <v>67.849999999999994</v>
      </c>
      <c r="Q188">
        <f t="shared" si="18"/>
        <v>1.41</v>
      </c>
      <c r="R188">
        <v>7067</v>
      </c>
      <c r="S188">
        <f t="shared" si="19"/>
        <v>120.4</v>
      </c>
      <c r="T188">
        <f t="shared" si="14"/>
        <v>1.103</v>
      </c>
      <c r="U188">
        <f t="shared" si="15"/>
        <v>105.17551999999999</v>
      </c>
      <c r="V188">
        <f t="shared" si="16"/>
        <v>10254.228800000001</v>
      </c>
      <c r="W188" s="58" t="str">
        <f t="shared" si="17"/>
        <v>25° Skew Variable Width Abutment 25% Skewed Wings</v>
      </c>
    </row>
    <row r="189" spans="13:23" x14ac:dyDescent="0.25">
      <c r="M189" t="s">
        <v>129</v>
      </c>
      <c r="N189">
        <v>12</v>
      </c>
      <c r="O189" t="str">
        <f t="shared" si="13"/>
        <v>25_25_12</v>
      </c>
      <c r="P189">
        <v>71.150000000000006</v>
      </c>
      <c r="Q189">
        <f t="shared" si="18"/>
        <v>1.49</v>
      </c>
      <c r="R189">
        <v>7067</v>
      </c>
      <c r="S189">
        <f t="shared" si="19"/>
        <v>120.4</v>
      </c>
      <c r="T189">
        <f t="shared" si="14"/>
        <v>1.103</v>
      </c>
      <c r="U189">
        <f t="shared" si="15"/>
        <v>110.59327999999999</v>
      </c>
      <c r="V189">
        <f t="shared" si="16"/>
        <v>10254.228800000001</v>
      </c>
      <c r="W189" s="58" t="str">
        <f t="shared" si="17"/>
        <v>25° Skew Variable Width Abutment 25% Skewed Wings</v>
      </c>
    </row>
    <row r="190" spans="13:23" x14ac:dyDescent="0.25">
      <c r="M190" t="s">
        <v>129</v>
      </c>
      <c r="N190">
        <v>13</v>
      </c>
      <c r="O190" t="str">
        <f t="shared" si="13"/>
        <v>25_25_13</v>
      </c>
      <c r="P190">
        <v>88.13</v>
      </c>
      <c r="Q190">
        <f t="shared" si="18"/>
        <v>1.64</v>
      </c>
      <c r="R190">
        <v>10316</v>
      </c>
      <c r="S190">
        <f t="shared" si="19"/>
        <v>161</v>
      </c>
      <c r="T190">
        <f t="shared" si="14"/>
        <v>1.103</v>
      </c>
      <c r="U190">
        <f t="shared" si="15"/>
        <v>131.54408000000001</v>
      </c>
      <c r="V190">
        <f t="shared" si="16"/>
        <v>14577.992</v>
      </c>
      <c r="W190" s="58" t="str">
        <f t="shared" si="17"/>
        <v>25° Skew Variable Width Abutment 25% Skewed Wings</v>
      </c>
    </row>
    <row r="191" spans="13:23" x14ac:dyDescent="0.25">
      <c r="M191" t="s">
        <v>129</v>
      </c>
      <c r="N191">
        <v>14</v>
      </c>
      <c r="O191" t="str">
        <f t="shared" si="13"/>
        <v>25_25_14</v>
      </c>
      <c r="P191">
        <v>91.87</v>
      </c>
      <c r="Q191">
        <f t="shared" si="18"/>
        <v>1.71</v>
      </c>
      <c r="R191">
        <v>10316</v>
      </c>
      <c r="S191">
        <f t="shared" si="19"/>
        <v>161</v>
      </c>
      <c r="T191">
        <f t="shared" si="14"/>
        <v>1.103</v>
      </c>
      <c r="U191">
        <f t="shared" si="15"/>
        <v>137.13712000000001</v>
      </c>
      <c r="V191">
        <f t="shared" si="16"/>
        <v>14577.992</v>
      </c>
      <c r="W191" s="58" t="str">
        <f t="shared" si="17"/>
        <v>25° Skew Variable Width Abutment 25% Skewed Wings</v>
      </c>
    </row>
    <row r="192" spans="13:23" x14ac:dyDescent="0.25">
      <c r="M192" t="s">
        <v>129</v>
      </c>
      <c r="N192">
        <v>15</v>
      </c>
      <c r="O192" t="str">
        <f t="shared" si="13"/>
        <v>25_25_15</v>
      </c>
      <c r="P192">
        <v>111.07</v>
      </c>
      <c r="Q192">
        <f t="shared" si="18"/>
        <v>1.86</v>
      </c>
      <c r="R192">
        <v>13872</v>
      </c>
      <c r="S192">
        <f t="shared" si="19"/>
        <v>198.6</v>
      </c>
      <c r="T192">
        <f t="shared" si="14"/>
        <v>1.103</v>
      </c>
      <c r="U192">
        <f t="shared" si="15"/>
        <v>160.30792</v>
      </c>
      <c r="V192">
        <f t="shared" si="16"/>
        <v>19129.339199999999</v>
      </c>
      <c r="W192" s="58" t="str">
        <f t="shared" si="17"/>
        <v>25° Skew Variable Width Abutment 25% Skewed Wings</v>
      </c>
    </row>
    <row r="193" spans="13:23" x14ac:dyDescent="0.25">
      <c r="M193" t="s">
        <v>129</v>
      </c>
      <c r="N193">
        <v>16</v>
      </c>
      <c r="O193" t="str">
        <f t="shared" si="13"/>
        <v>25_25_16</v>
      </c>
      <c r="P193">
        <v>115.26</v>
      </c>
      <c r="Q193">
        <f t="shared" si="18"/>
        <v>1.93</v>
      </c>
      <c r="R193">
        <v>13872</v>
      </c>
      <c r="S193">
        <f t="shared" si="19"/>
        <v>198.6</v>
      </c>
      <c r="T193">
        <f t="shared" si="14"/>
        <v>1.103</v>
      </c>
      <c r="U193">
        <f t="shared" si="15"/>
        <v>166.35096000000001</v>
      </c>
      <c r="V193">
        <f t="shared" si="16"/>
        <v>19129.339199999999</v>
      </c>
      <c r="W193" s="58" t="str">
        <f t="shared" si="17"/>
        <v>25° Skew Variable Width Abutment 25% Skewed Wings</v>
      </c>
    </row>
    <row r="194" spans="13:23" x14ac:dyDescent="0.25">
      <c r="M194" t="s">
        <v>130</v>
      </c>
      <c r="N194">
        <v>5</v>
      </c>
      <c r="O194" t="str">
        <f t="shared" si="13"/>
        <v>30_25_5</v>
      </c>
      <c r="P194">
        <v>22.36</v>
      </c>
      <c r="Q194">
        <f t="shared" si="18"/>
        <v>0.71</v>
      </c>
      <c r="R194">
        <v>2163</v>
      </c>
      <c r="S194">
        <f t="shared" si="19"/>
        <v>52.8</v>
      </c>
      <c r="T194">
        <f t="shared" si="14"/>
        <v>1.155</v>
      </c>
      <c r="U194">
        <f t="shared" si="15"/>
        <v>42.041200000000003</v>
      </c>
      <c r="V194">
        <f t="shared" si="16"/>
        <v>3626.616</v>
      </c>
      <c r="W194" s="58" t="str">
        <f t="shared" si="17"/>
        <v>30° Skew Variable Width Abutment 25% Skewed Wings</v>
      </c>
    </row>
    <row r="195" spans="13:23" x14ac:dyDescent="0.25">
      <c r="M195" t="s">
        <v>130</v>
      </c>
      <c r="N195">
        <v>6</v>
      </c>
      <c r="O195" t="str">
        <f t="shared" ref="O195:O258" si="20">CONCATENATE(M195,"_",N195)</f>
        <v>30_25_6</v>
      </c>
      <c r="P195">
        <v>24.35</v>
      </c>
      <c r="Q195">
        <f t="shared" si="18"/>
        <v>0.78</v>
      </c>
      <c r="R195">
        <v>2163</v>
      </c>
      <c r="S195">
        <f t="shared" si="19"/>
        <v>52.8</v>
      </c>
      <c r="T195">
        <f t="shared" ref="T195:T258" si="21">ROUND(1/COS(RADIANS(LEFT(M195,2)*1)),3)</f>
        <v>1.155</v>
      </c>
      <c r="U195">
        <f t="shared" ref="U195:U258" si="22">P195+Q195*B$3*T195</f>
        <v>45.971600000000002</v>
      </c>
      <c r="V195">
        <f t="shared" ref="V195:V258" si="23">R195+S195*B$3*T195</f>
        <v>3626.616</v>
      </c>
      <c r="W195" s="58" t="str">
        <f t="shared" ref="W195:W241" si="24">CONCATENATE(LEFT(M195,2)*1,"° Skew Variable Width Abutment ",RIGHT(M195,2),"% Skewed Wings")</f>
        <v>30° Skew Variable Width Abutment 25% Skewed Wings</v>
      </c>
    </row>
    <row r="196" spans="13:23" x14ac:dyDescent="0.25">
      <c r="M196" t="s">
        <v>130</v>
      </c>
      <c r="N196">
        <v>7</v>
      </c>
      <c r="O196" t="str">
        <f t="shared" si="20"/>
        <v>30_25_7</v>
      </c>
      <c r="P196">
        <v>34.5</v>
      </c>
      <c r="Q196">
        <f t="shared" si="18"/>
        <v>0.93</v>
      </c>
      <c r="R196">
        <v>3232</v>
      </c>
      <c r="S196">
        <f t="shared" si="19"/>
        <v>68.7</v>
      </c>
      <c r="T196">
        <f t="shared" si="21"/>
        <v>1.155</v>
      </c>
      <c r="U196">
        <f t="shared" si="22"/>
        <v>60.279600000000002</v>
      </c>
      <c r="V196">
        <f t="shared" si="23"/>
        <v>5136.3640000000005</v>
      </c>
      <c r="W196" s="58" t="str">
        <f t="shared" si="24"/>
        <v>30° Skew Variable Width Abutment 25% Skewed Wings</v>
      </c>
    </row>
    <row r="197" spans="13:23" x14ac:dyDescent="0.25">
      <c r="M197" t="s">
        <v>130</v>
      </c>
      <c r="N197">
        <v>8</v>
      </c>
      <c r="O197" t="str">
        <f t="shared" si="20"/>
        <v>30_25_8</v>
      </c>
      <c r="P197">
        <v>36.93</v>
      </c>
      <c r="Q197">
        <f t="shared" si="18"/>
        <v>1.01</v>
      </c>
      <c r="R197">
        <v>3232</v>
      </c>
      <c r="S197">
        <f t="shared" si="19"/>
        <v>68.7</v>
      </c>
      <c r="T197">
        <f t="shared" si="21"/>
        <v>1.155</v>
      </c>
      <c r="U197">
        <f t="shared" si="22"/>
        <v>64.927199999999999</v>
      </c>
      <c r="V197">
        <f t="shared" si="23"/>
        <v>5136.3640000000005</v>
      </c>
      <c r="W197" s="58" t="str">
        <f t="shared" si="24"/>
        <v>30° Skew Variable Width Abutment 25% Skewed Wings</v>
      </c>
    </row>
    <row r="198" spans="13:23" x14ac:dyDescent="0.25">
      <c r="M198" t="s">
        <v>130</v>
      </c>
      <c r="N198">
        <v>9</v>
      </c>
      <c r="O198" t="str">
        <f t="shared" si="20"/>
        <v>30_25_9</v>
      </c>
      <c r="P198">
        <v>52.02</v>
      </c>
      <c r="Q198">
        <f t="shared" si="18"/>
        <v>1.19</v>
      </c>
      <c r="R198">
        <v>4969</v>
      </c>
      <c r="S198">
        <f t="shared" si="19"/>
        <v>91</v>
      </c>
      <c r="T198">
        <f t="shared" si="21"/>
        <v>1.155</v>
      </c>
      <c r="U198">
        <f t="shared" si="22"/>
        <v>85.006799999999998</v>
      </c>
      <c r="V198">
        <f t="shared" si="23"/>
        <v>7491.52</v>
      </c>
      <c r="W198" s="58" t="str">
        <f t="shared" si="24"/>
        <v>30° Skew Variable Width Abutment 25% Skewed Wings</v>
      </c>
    </row>
    <row r="199" spans="13:23" x14ac:dyDescent="0.25">
      <c r="M199" t="s">
        <v>130</v>
      </c>
      <c r="N199">
        <v>10</v>
      </c>
      <c r="O199" t="str">
        <f t="shared" si="20"/>
        <v>30_25_10</v>
      </c>
      <c r="P199">
        <v>54.98</v>
      </c>
      <c r="Q199">
        <f t="shared" si="18"/>
        <v>1.27</v>
      </c>
      <c r="R199">
        <v>4969</v>
      </c>
      <c r="S199">
        <f t="shared" si="19"/>
        <v>91</v>
      </c>
      <c r="T199">
        <f t="shared" si="21"/>
        <v>1.155</v>
      </c>
      <c r="U199">
        <f t="shared" si="22"/>
        <v>90.184399999999997</v>
      </c>
      <c r="V199">
        <f t="shared" si="23"/>
        <v>7491.52</v>
      </c>
      <c r="W199" s="58" t="str">
        <f t="shared" si="24"/>
        <v>30° Skew Variable Width Abutment 25% Skewed Wings</v>
      </c>
    </row>
    <row r="200" spans="13:23" x14ac:dyDescent="0.25">
      <c r="M200" t="s">
        <v>130</v>
      </c>
      <c r="N200">
        <v>11</v>
      </c>
      <c r="O200" t="str">
        <f t="shared" si="20"/>
        <v>30_25_11</v>
      </c>
      <c r="P200">
        <v>69.94</v>
      </c>
      <c r="Q200">
        <f t="shared" si="18"/>
        <v>1.41</v>
      </c>
      <c r="R200">
        <v>7260</v>
      </c>
      <c r="S200">
        <f t="shared" si="19"/>
        <v>120.4</v>
      </c>
      <c r="T200">
        <f t="shared" si="21"/>
        <v>1.155</v>
      </c>
      <c r="U200">
        <f t="shared" si="22"/>
        <v>109.02519999999998</v>
      </c>
      <c r="V200">
        <f t="shared" si="23"/>
        <v>10597.488000000001</v>
      </c>
      <c r="W200" s="58" t="str">
        <f t="shared" si="24"/>
        <v>30° Skew Variable Width Abutment 25% Skewed Wings</v>
      </c>
    </row>
    <row r="201" spans="13:23" x14ac:dyDescent="0.25">
      <c r="M201" t="s">
        <v>130</v>
      </c>
      <c r="N201">
        <v>12</v>
      </c>
      <c r="O201" t="str">
        <f t="shared" si="20"/>
        <v>30_25_12</v>
      </c>
      <c r="P201">
        <v>73.33</v>
      </c>
      <c r="Q201">
        <f t="shared" si="18"/>
        <v>1.49</v>
      </c>
      <c r="R201">
        <v>7260</v>
      </c>
      <c r="S201">
        <f t="shared" si="19"/>
        <v>120.4</v>
      </c>
      <c r="T201">
        <f t="shared" si="21"/>
        <v>1.155</v>
      </c>
      <c r="U201">
        <f t="shared" si="22"/>
        <v>114.6328</v>
      </c>
      <c r="V201">
        <f t="shared" si="23"/>
        <v>10597.488000000001</v>
      </c>
      <c r="W201" s="58" t="str">
        <f t="shared" si="24"/>
        <v>30° Skew Variable Width Abutment 25% Skewed Wings</v>
      </c>
    </row>
    <row r="202" spans="13:23" x14ac:dyDescent="0.25">
      <c r="M202" t="s">
        <v>130</v>
      </c>
      <c r="N202">
        <v>13</v>
      </c>
      <c r="O202" t="str">
        <f t="shared" si="20"/>
        <v>30_25_13</v>
      </c>
      <c r="P202">
        <v>90.51</v>
      </c>
      <c r="Q202">
        <f t="shared" si="18"/>
        <v>1.64</v>
      </c>
      <c r="R202">
        <v>10566</v>
      </c>
      <c r="S202">
        <f t="shared" si="19"/>
        <v>161</v>
      </c>
      <c r="T202">
        <f t="shared" si="21"/>
        <v>1.155</v>
      </c>
      <c r="U202">
        <f t="shared" si="22"/>
        <v>135.9708</v>
      </c>
      <c r="V202">
        <f t="shared" si="23"/>
        <v>15028.92</v>
      </c>
      <c r="W202" s="58" t="str">
        <f t="shared" si="24"/>
        <v>30° Skew Variable Width Abutment 25% Skewed Wings</v>
      </c>
    </row>
    <row r="203" spans="13:23" x14ac:dyDescent="0.25">
      <c r="M203" t="s">
        <v>130</v>
      </c>
      <c r="N203">
        <v>14</v>
      </c>
      <c r="O203" t="str">
        <f t="shared" si="20"/>
        <v>30_25_14</v>
      </c>
      <c r="P203">
        <v>94.36</v>
      </c>
      <c r="Q203">
        <f t="shared" si="18"/>
        <v>1.71</v>
      </c>
      <c r="R203">
        <v>10566</v>
      </c>
      <c r="S203">
        <f t="shared" si="19"/>
        <v>161</v>
      </c>
      <c r="T203">
        <f t="shared" si="21"/>
        <v>1.155</v>
      </c>
      <c r="U203">
        <f t="shared" si="22"/>
        <v>141.7612</v>
      </c>
      <c r="V203">
        <f t="shared" si="23"/>
        <v>15028.92</v>
      </c>
      <c r="W203" s="58" t="str">
        <f t="shared" si="24"/>
        <v>30° Skew Variable Width Abutment 25% Skewed Wings</v>
      </c>
    </row>
    <row r="204" spans="13:23" x14ac:dyDescent="0.25">
      <c r="M204" t="s">
        <v>130</v>
      </c>
      <c r="N204">
        <v>15</v>
      </c>
      <c r="O204" t="str">
        <f t="shared" si="20"/>
        <v>30_25_15</v>
      </c>
      <c r="P204">
        <v>115.71</v>
      </c>
      <c r="Q204">
        <f t="shared" si="18"/>
        <v>1.86</v>
      </c>
      <c r="R204">
        <v>14465</v>
      </c>
      <c r="S204">
        <f t="shared" si="19"/>
        <v>198.6</v>
      </c>
      <c r="T204">
        <f t="shared" si="21"/>
        <v>1.155</v>
      </c>
      <c r="U204">
        <f t="shared" si="22"/>
        <v>167.26920000000001</v>
      </c>
      <c r="V204">
        <f t="shared" si="23"/>
        <v>19970.191999999999</v>
      </c>
      <c r="W204" s="58" t="str">
        <f t="shared" si="24"/>
        <v>30° Skew Variable Width Abutment 25% Skewed Wings</v>
      </c>
    </row>
    <row r="205" spans="13:23" x14ac:dyDescent="0.25">
      <c r="M205" t="s">
        <v>130</v>
      </c>
      <c r="N205">
        <v>16</v>
      </c>
      <c r="O205" t="str">
        <f t="shared" si="20"/>
        <v>30_25_16</v>
      </c>
      <c r="P205">
        <v>120.07</v>
      </c>
      <c r="Q205">
        <f t="shared" si="18"/>
        <v>1.93</v>
      </c>
      <c r="R205">
        <v>14465</v>
      </c>
      <c r="S205">
        <f t="shared" si="19"/>
        <v>198.6</v>
      </c>
      <c r="T205">
        <f t="shared" si="21"/>
        <v>1.155</v>
      </c>
      <c r="U205">
        <f t="shared" si="22"/>
        <v>173.56959999999998</v>
      </c>
      <c r="V205">
        <f t="shared" si="23"/>
        <v>19970.191999999999</v>
      </c>
      <c r="W205" s="58" t="str">
        <f t="shared" si="24"/>
        <v>30° Skew Variable Width Abutment 25% Skewed Wings</v>
      </c>
    </row>
    <row r="206" spans="13:23" x14ac:dyDescent="0.25">
      <c r="M206" t="s">
        <v>131</v>
      </c>
      <c r="N206">
        <v>5</v>
      </c>
      <c r="O206" t="str">
        <f t="shared" si="20"/>
        <v>35_25_5</v>
      </c>
      <c r="P206">
        <v>23.58</v>
      </c>
      <c r="Q206">
        <f t="shared" si="18"/>
        <v>0.71</v>
      </c>
      <c r="R206">
        <v>2265</v>
      </c>
      <c r="S206">
        <f t="shared" si="19"/>
        <v>52.8</v>
      </c>
      <c r="T206">
        <f t="shared" si="21"/>
        <v>1.2210000000000001</v>
      </c>
      <c r="U206">
        <f t="shared" si="22"/>
        <v>44.385840000000002</v>
      </c>
      <c r="V206">
        <f t="shared" si="23"/>
        <v>3812.2511999999997</v>
      </c>
      <c r="W206" s="58" t="str">
        <f t="shared" si="24"/>
        <v>35° Skew Variable Width Abutment 25% Skewed Wings</v>
      </c>
    </row>
    <row r="207" spans="13:23" x14ac:dyDescent="0.25">
      <c r="M207" t="s">
        <v>131</v>
      </c>
      <c r="N207">
        <v>6</v>
      </c>
      <c r="O207" t="str">
        <f t="shared" si="20"/>
        <v>35_25_6</v>
      </c>
      <c r="P207">
        <v>25.67</v>
      </c>
      <c r="Q207">
        <f t="shared" si="18"/>
        <v>0.78</v>
      </c>
      <c r="R207">
        <v>2265</v>
      </c>
      <c r="S207">
        <f t="shared" si="19"/>
        <v>52.8</v>
      </c>
      <c r="T207">
        <f t="shared" si="21"/>
        <v>1.2210000000000001</v>
      </c>
      <c r="U207">
        <f t="shared" si="22"/>
        <v>48.527120000000004</v>
      </c>
      <c r="V207">
        <f t="shared" si="23"/>
        <v>3812.2511999999997</v>
      </c>
      <c r="W207" s="58" t="str">
        <f t="shared" si="24"/>
        <v>35° Skew Variable Width Abutment 25% Skewed Wings</v>
      </c>
    </row>
    <row r="208" spans="13:23" x14ac:dyDescent="0.25">
      <c r="M208" t="s">
        <v>131</v>
      </c>
      <c r="N208">
        <v>7</v>
      </c>
      <c r="O208" t="str">
        <f t="shared" si="20"/>
        <v>35_25_7</v>
      </c>
      <c r="P208">
        <v>36.04</v>
      </c>
      <c r="Q208">
        <f t="shared" si="18"/>
        <v>0.93</v>
      </c>
      <c r="R208">
        <v>3363</v>
      </c>
      <c r="S208">
        <f t="shared" si="19"/>
        <v>68.7</v>
      </c>
      <c r="T208">
        <f t="shared" si="21"/>
        <v>1.2210000000000001</v>
      </c>
      <c r="U208">
        <f t="shared" si="22"/>
        <v>63.292720000000003</v>
      </c>
      <c r="V208">
        <f t="shared" si="23"/>
        <v>5376.1848000000009</v>
      </c>
      <c r="W208" s="58" t="str">
        <f t="shared" si="24"/>
        <v>35° Skew Variable Width Abutment 25% Skewed Wings</v>
      </c>
    </row>
    <row r="209" spans="13:23" x14ac:dyDescent="0.25">
      <c r="M209" t="s">
        <v>131</v>
      </c>
      <c r="N209">
        <v>8</v>
      </c>
      <c r="O209" t="str">
        <f t="shared" si="20"/>
        <v>35_25_8</v>
      </c>
      <c r="P209">
        <v>38.58</v>
      </c>
      <c r="Q209">
        <f t="shared" si="18"/>
        <v>1.01</v>
      </c>
      <c r="R209">
        <v>3363</v>
      </c>
      <c r="S209">
        <f t="shared" si="19"/>
        <v>68.7</v>
      </c>
      <c r="T209">
        <f t="shared" si="21"/>
        <v>1.2210000000000001</v>
      </c>
      <c r="U209">
        <f t="shared" si="22"/>
        <v>68.177040000000005</v>
      </c>
      <c r="V209">
        <f t="shared" si="23"/>
        <v>5376.1848000000009</v>
      </c>
      <c r="W209" s="58" t="str">
        <f t="shared" si="24"/>
        <v>35° Skew Variable Width Abutment 25% Skewed Wings</v>
      </c>
    </row>
    <row r="210" spans="13:23" x14ac:dyDescent="0.25">
      <c r="M210" t="s">
        <v>131</v>
      </c>
      <c r="N210">
        <v>9</v>
      </c>
      <c r="O210" t="str">
        <f t="shared" si="20"/>
        <v>35_25_9</v>
      </c>
      <c r="P210">
        <v>53.94</v>
      </c>
      <c r="Q210">
        <f t="shared" si="18"/>
        <v>1.19</v>
      </c>
      <c r="R210">
        <v>5110</v>
      </c>
      <c r="S210">
        <f t="shared" si="19"/>
        <v>91</v>
      </c>
      <c r="T210">
        <f t="shared" si="21"/>
        <v>1.2210000000000001</v>
      </c>
      <c r="U210">
        <f t="shared" si="22"/>
        <v>88.811759999999992</v>
      </c>
      <c r="V210">
        <f t="shared" si="23"/>
        <v>7776.6640000000007</v>
      </c>
      <c r="W210" s="58" t="str">
        <f t="shared" si="24"/>
        <v>35° Skew Variable Width Abutment 25% Skewed Wings</v>
      </c>
    </row>
    <row r="211" spans="13:23" x14ac:dyDescent="0.25">
      <c r="M211" t="s">
        <v>131</v>
      </c>
      <c r="N211">
        <v>10</v>
      </c>
      <c r="O211" t="str">
        <f t="shared" si="20"/>
        <v>35_25_10</v>
      </c>
      <c r="P211">
        <v>57</v>
      </c>
      <c r="Q211">
        <f t="shared" si="18"/>
        <v>1.27</v>
      </c>
      <c r="R211">
        <v>5110</v>
      </c>
      <c r="S211">
        <f t="shared" si="19"/>
        <v>91</v>
      </c>
      <c r="T211">
        <f t="shared" si="21"/>
        <v>1.2210000000000001</v>
      </c>
      <c r="U211">
        <f t="shared" si="22"/>
        <v>94.216080000000005</v>
      </c>
      <c r="V211">
        <f t="shared" si="23"/>
        <v>7776.6640000000007</v>
      </c>
      <c r="W211" s="58" t="str">
        <f t="shared" si="24"/>
        <v>35° Skew Variable Width Abutment 25% Skewed Wings</v>
      </c>
    </row>
    <row r="212" spans="13:23" x14ac:dyDescent="0.25">
      <c r="M212" t="s">
        <v>131</v>
      </c>
      <c r="N212">
        <v>11</v>
      </c>
      <c r="O212" t="str">
        <f t="shared" si="20"/>
        <v>35_25_11</v>
      </c>
      <c r="P212">
        <v>73.69</v>
      </c>
      <c r="Q212">
        <f t="shared" si="18"/>
        <v>1.41</v>
      </c>
      <c r="R212">
        <v>7612</v>
      </c>
      <c r="S212">
        <f t="shared" si="19"/>
        <v>120.4</v>
      </c>
      <c r="T212">
        <f t="shared" si="21"/>
        <v>1.2210000000000001</v>
      </c>
      <c r="U212">
        <f t="shared" si="22"/>
        <v>115.00863999999999</v>
      </c>
      <c r="V212">
        <f t="shared" si="23"/>
        <v>11140.2016</v>
      </c>
      <c r="W212" s="58" t="str">
        <f t="shared" si="24"/>
        <v>35° Skew Variable Width Abutment 25% Skewed Wings</v>
      </c>
    </row>
    <row r="213" spans="13:23" x14ac:dyDescent="0.25">
      <c r="M213" t="s">
        <v>131</v>
      </c>
      <c r="N213">
        <v>12</v>
      </c>
      <c r="O213" t="str">
        <f t="shared" si="20"/>
        <v>35_25_12</v>
      </c>
      <c r="P213">
        <v>77.27</v>
      </c>
      <c r="Q213">
        <f t="shared" si="18"/>
        <v>1.49</v>
      </c>
      <c r="R213">
        <v>7612</v>
      </c>
      <c r="S213">
        <f t="shared" si="19"/>
        <v>120.4</v>
      </c>
      <c r="T213">
        <f t="shared" si="21"/>
        <v>1.2210000000000001</v>
      </c>
      <c r="U213">
        <f t="shared" si="22"/>
        <v>120.93295999999999</v>
      </c>
      <c r="V213">
        <f t="shared" si="23"/>
        <v>11140.2016</v>
      </c>
      <c r="W213" s="58" t="str">
        <f t="shared" si="24"/>
        <v>35° Skew Variable Width Abutment 25% Skewed Wings</v>
      </c>
    </row>
    <row r="214" spans="13:23" x14ac:dyDescent="0.25">
      <c r="M214" t="s">
        <v>131</v>
      </c>
      <c r="N214">
        <v>13</v>
      </c>
      <c r="O214" t="str">
        <f t="shared" si="20"/>
        <v>35_25_13</v>
      </c>
      <c r="P214">
        <v>96.54</v>
      </c>
      <c r="Q214">
        <f t="shared" si="18"/>
        <v>1.64</v>
      </c>
      <c r="R214">
        <v>11200</v>
      </c>
      <c r="S214">
        <f t="shared" si="19"/>
        <v>161</v>
      </c>
      <c r="T214">
        <f t="shared" si="21"/>
        <v>1.2210000000000001</v>
      </c>
      <c r="U214">
        <f t="shared" si="22"/>
        <v>144.59856000000002</v>
      </c>
      <c r="V214">
        <f t="shared" si="23"/>
        <v>15917.944</v>
      </c>
      <c r="W214" s="58" t="str">
        <f t="shared" si="24"/>
        <v>35° Skew Variable Width Abutment 25% Skewed Wings</v>
      </c>
    </row>
    <row r="215" spans="13:23" x14ac:dyDescent="0.25">
      <c r="M215" t="s">
        <v>131</v>
      </c>
      <c r="N215">
        <v>14</v>
      </c>
      <c r="O215" t="str">
        <f t="shared" si="20"/>
        <v>35_25_14</v>
      </c>
      <c r="P215">
        <v>100.64</v>
      </c>
      <c r="Q215">
        <f t="shared" si="18"/>
        <v>1.71</v>
      </c>
      <c r="R215">
        <v>11200</v>
      </c>
      <c r="S215">
        <f t="shared" si="19"/>
        <v>161</v>
      </c>
      <c r="T215">
        <f t="shared" si="21"/>
        <v>1.2210000000000001</v>
      </c>
      <c r="U215">
        <f t="shared" si="22"/>
        <v>150.74984000000001</v>
      </c>
      <c r="V215">
        <f t="shared" si="23"/>
        <v>15917.944</v>
      </c>
      <c r="W215" s="58" t="str">
        <f t="shared" si="24"/>
        <v>35° Skew Variable Width Abutment 25% Skewed Wings</v>
      </c>
    </row>
    <row r="216" spans="13:23" x14ac:dyDescent="0.25">
      <c r="M216" t="s">
        <v>131</v>
      </c>
      <c r="N216">
        <v>15</v>
      </c>
      <c r="O216" t="str">
        <f t="shared" si="20"/>
        <v>35_25_15</v>
      </c>
      <c r="P216">
        <v>122.51</v>
      </c>
      <c r="Q216">
        <f t="shared" si="18"/>
        <v>1.86</v>
      </c>
      <c r="R216">
        <v>15233</v>
      </c>
      <c r="S216">
        <f t="shared" si="19"/>
        <v>198.6</v>
      </c>
      <c r="T216">
        <f t="shared" si="21"/>
        <v>1.2210000000000001</v>
      </c>
      <c r="U216">
        <f t="shared" si="22"/>
        <v>177.01544000000001</v>
      </c>
      <c r="V216">
        <f t="shared" si="23"/>
        <v>21052.774400000002</v>
      </c>
      <c r="W216" s="58" t="str">
        <f t="shared" si="24"/>
        <v>35° Skew Variable Width Abutment 25% Skewed Wings</v>
      </c>
    </row>
    <row r="217" spans="13:23" x14ac:dyDescent="0.25">
      <c r="M217" t="s">
        <v>131</v>
      </c>
      <c r="N217">
        <v>16</v>
      </c>
      <c r="O217" t="str">
        <f t="shared" si="20"/>
        <v>35_25_16</v>
      </c>
      <c r="P217">
        <v>127.13</v>
      </c>
      <c r="Q217">
        <f t="shared" si="18"/>
        <v>1.93</v>
      </c>
      <c r="R217">
        <v>15233</v>
      </c>
      <c r="S217">
        <f t="shared" si="19"/>
        <v>198.6</v>
      </c>
      <c r="T217">
        <f t="shared" si="21"/>
        <v>1.2210000000000001</v>
      </c>
      <c r="U217">
        <f t="shared" si="22"/>
        <v>183.68672000000001</v>
      </c>
      <c r="V217">
        <f t="shared" si="23"/>
        <v>21052.774400000002</v>
      </c>
      <c r="W217" s="58" t="str">
        <f t="shared" si="24"/>
        <v>35° Skew Variable Width Abutment 25% Skewed Wings</v>
      </c>
    </row>
    <row r="218" spans="13:23" x14ac:dyDescent="0.25">
      <c r="M218" t="s">
        <v>132</v>
      </c>
      <c r="N218">
        <v>5</v>
      </c>
      <c r="O218" t="str">
        <f t="shared" si="20"/>
        <v>40_25_5</v>
      </c>
      <c r="P218">
        <v>24.9</v>
      </c>
      <c r="Q218">
        <f t="shared" si="18"/>
        <v>0.71</v>
      </c>
      <c r="R218">
        <v>2378</v>
      </c>
      <c r="S218">
        <f t="shared" si="19"/>
        <v>52.8</v>
      </c>
      <c r="T218">
        <f t="shared" si="21"/>
        <v>1.3049999999999999</v>
      </c>
      <c r="U218">
        <f t="shared" si="22"/>
        <v>47.137199999999993</v>
      </c>
      <c r="V218">
        <f t="shared" si="23"/>
        <v>4031.6959999999999</v>
      </c>
      <c r="W218" s="58" t="str">
        <f t="shared" si="24"/>
        <v>40° Skew Variable Width Abutment 25% Skewed Wings</v>
      </c>
    </row>
    <row r="219" spans="13:23" x14ac:dyDescent="0.25">
      <c r="M219" t="s">
        <v>132</v>
      </c>
      <c r="N219">
        <v>6</v>
      </c>
      <c r="O219" t="str">
        <f t="shared" si="20"/>
        <v>40_25_6</v>
      </c>
      <c r="P219">
        <v>27.11</v>
      </c>
      <c r="Q219">
        <f t="shared" si="18"/>
        <v>0.78</v>
      </c>
      <c r="R219">
        <v>2378</v>
      </c>
      <c r="S219">
        <f t="shared" si="19"/>
        <v>52.8</v>
      </c>
      <c r="T219">
        <f t="shared" si="21"/>
        <v>1.3049999999999999</v>
      </c>
      <c r="U219">
        <f t="shared" si="22"/>
        <v>51.539599999999993</v>
      </c>
      <c r="V219">
        <f t="shared" si="23"/>
        <v>4031.6959999999999</v>
      </c>
      <c r="W219" s="58" t="str">
        <f t="shared" si="24"/>
        <v>40° Skew Variable Width Abutment 25% Skewed Wings</v>
      </c>
    </row>
    <row r="220" spans="13:23" x14ac:dyDescent="0.25">
      <c r="M220" t="s">
        <v>132</v>
      </c>
      <c r="N220">
        <v>7</v>
      </c>
      <c r="O220" t="str">
        <f t="shared" si="20"/>
        <v>40_25_7</v>
      </c>
      <c r="P220">
        <v>38.74</v>
      </c>
      <c r="Q220">
        <f t="shared" si="18"/>
        <v>0.93</v>
      </c>
      <c r="R220">
        <v>3585</v>
      </c>
      <c r="S220">
        <f t="shared" si="19"/>
        <v>68.7</v>
      </c>
      <c r="T220">
        <f t="shared" si="21"/>
        <v>1.3049999999999999</v>
      </c>
      <c r="U220">
        <f t="shared" si="22"/>
        <v>67.867599999999996</v>
      </c>
      <c r="V220">
        <f t="shared" si="23"/>
        <v>5736.6840000000002</v>
      </c>
      <c r="W220" s="58" t="str">
        <f t="shared" si="24"/>
        <v>40° Skew Variable Width Abutment 25% Skewed Wings</v>
      </c>
    </row>
    <row r="221" spans="13:23" x14ac:dyDescent="0.25">
      <c r="M221" t="s">
        <v>132</v>
      </c>
      <c r="N221">
        <v>8</v>
      </c>
      <c r="O221" t="str">
        <f t="shared" si="20"/>
        <v>40_25_8</v>
      </c>
      <c r="P221">
        <v>41.47</v>
      </c>
      <c r="Q221">
        <f t="shared" si="18"/>
        <v>1.01</v>
      </c>
      <c r="R221">
        <v>3585</v>
      </c>
      <c r="S221">
        <f t="shared" si="19"/>
        <v>68.7</v>
      </c>
      <c r="T221">
        <f t="shared" si="21"/>
        <v>1.3049999999999999</v>
      </c>
      <c r="U221">
        <f t="shared" si="22"/>
        <v>73.103200000000001</v>
      </c>
      <c r="V221">
        <f t="shared" si="23"/>
        <v>5736.6840000000002</v>
      </c>
      <c r="W221" s="58" t="str">
        <f t="shared" si="24"/>
        <v>40° Skew Variable Width Abutment 25% Skewed Wings</v>
      </c>
    </row>
    <row r="222" spans="13:23" x14ac:dyDescent="0.25">
      <c r="M222" t="s">
        <v>132</v>
      </c>
      <c r="N222">
        <v>9</v>
      </c>
      <c r="O222" t="str">
        <f t="shared" si="20"/>
        <v>40_25_9</v>
      </c>
      <c r="P222">
        <v>57.31</v>
      </c>
      <c r="Q222">
        <f t="shared" si="18"/>
        <v>1.19</v>
      </c>
      <c r="R222">
        <v>5417</v>
      </c>
      <c r="S222">
        <f t="shared" si="19"/>
        <v>91</v>
      </c>
      <c r="T222">
        <f t="shared" si="21"/>
        <v>1.3049999999999999</v>
      </c>
      <c r="U222">
        <f t="shared" si="22"/>
        <v>94.580799999999996</v>
      </c>
      <c r="V222">
        <f t="shared" si="23"/>
        <v>8267.119999999999</v>
      </c>
      <c r="W222" s="58" t="str">
        <f t="shared" si="24"/>
        <v>40° Skew Variable Width Abutment 25% Skewed Wings</v>
      </c>
    </row>
    <row r="223" spans="13:23" x14ac:dyDescent="0.25">
      <c r="M223" t="s">
        <v>132</v>
      </c>
      <c r="N223">
        <v>10</v>
      </c>
      <c r="O223" t="str">
        <f t="shared" si="20"/>
        <v>40_25_10</v>
      </c>
      <c r="P223">
        <v>60.57</v>
      </c>
      <c r="Q223">
        <f t="shared" si="18"/>
        <v>1.27</v>
      </c>
      <c r="R223">
        <v>5417</v>
      </c>
      <c r="S223">
        <f t="shared" si="19"/>
        <v>91</v>
      </c>
      <c r="T223">
        <f t="shared" si="21"/>
        <v>1.3049999999999999</v>
      </c>
      <c r="U223">
        <f t="shared" si="22"/>
        <v>100.34639999999999</v>
      </c>
      <c r="V223">
        <f t="shared" si="23"/>
        <v>8267.119999999999</v>
      </c>
      <c r="W223" s="58" t="str">
        <f t="shared" si="24"/>
        <v>40° Skew Variable Width Abutment 25% Skewed Wings</v>
      </c>
    </row>
    <row r="224" spans="13:23" x14ac:dyDescent="0.25">
      <c r="M224" t="s">
        <v>132</v>
      </c>
      <c r="N224">
        <v>11</v>
      </c>
      <c r="O224" t="str">
        <f t="shared" si="20"/>
        <v>40_25_11</v>
      </c>
      <c r="P224">
        <v>77.63</v>
      </c>
      <c r="Q224">
        <f t="shared" si="18"/>
        <v>1.41</v>
      </c>
      <c r="R224">
        <v>7970</v>
      </c>
      <c r="S224">
        <f t="shared" si="19"/>
        <v>120.4</v>
      </c>
      <c r="T224">
        <f t="shared" si="21"/>
        <v>1.3049999999999999</v>
      </c>
      <c r="U224">
        <f t="shared" si="22"/>
        <v>121.79119999999999</v>
      </c>
      <c r="V224">
        <f t="shared" si="23"/>
        <v>11740.928</v>
      </c>
      <c r="W224" s="58" t="str">
        <f t="shared" si="24"/>
        <v>40° Skew Variable Width Abutment 25% Skewed Wings</v>
      </c>
    </row>
    <row r="225" spans="13:23" x14ac:dyDescent="0.25">
      <c r="M225" t="s">
        <v>132</v>
      </c>
      <c r="N225">
        <v>12</v>
      </c>
      <c r="O225" t="str">
        <f t="shared" si="20"/>
        <v>40_25_12</v>
      </c>
      <c r="P225">
        <v>81.400000000000006</v>
      </c>
      <c r="Q225">
        <f t="shared" si="18"/>
        <v>1.49</v>
      </c>
      <c r="R225">
        <v>7970</v>
      </c>
      <c r="S225">
        <f t="shared" si="19"/>
        <v>120.4</v>
      </c>
      <c r="T225">
        <f t="shared" si="21"/>
        <v>1.3049999999999999</v>
      </c>
      <c r="U225">
        <f t="shared" si="22"/>
        <v>128.0668</v>
      </c>
      <c r="V225">
        <f t="shared" si="23"/>
        <v>11740.928</v>
      </c>
      <c r="W225" s="58" t="str">
        <f t="shared" si="24"/>
        <v>40° Skew Variable Width Abutment 25% Skewed Wings</v>
      </c>
    </row>
    <row r="226" spans="13:23" x14ac:dyDescent="0.25">
      <c r="M226" t="s">
        <v>132</v>
      </c>
      <c r="N226">
        <v>13</v>
      </c>
      <c r="O226" t="str">
        <f t="shared" si="20"/>
        <v>40_25_13</v>
      </c>
      <c r="P226">
        <v>101.07</v>
      </c>
      <c r="Q226">
        <f t="shared" si="18"/>
        <v>1.64</v>
      </c>
      <c r="R226">
        <v>11721</v>
      </c>
      <c r="S226">
        <f t="shared" si="19"/>
        <v>161</v>
      </c>
      <c r="T226">
        <f t="shared" si="21"/>
        <v>1.3049999999999999</v>
      </c>
      <c r="U226">
        <f t="shared" si="22"/>
        <v>152.4348</v>
      </c>
      <c r="V226">
        <f t="shared" si="23"/>
        <v>16763.52</v>
      </c>
      <c r="W226" s="58" t="str">
        <f t="shared" si="24"/>
        <v>40° Skew Variable Width Abutment 25% Skewed Wings</v>
      </c>
    </row>
    <row r="227" spans="13:23" x14ac:dyDescent="0.25">
      <c r="M227" t="s">
        <v>132</v>
      </c>
      <c r="N227">
        <v>14</v>
      </c>
      <c r="O227" t="str">
        <f t="shared" si="20"/>
        <v>40_25_14</v>
      </c>
      <c r="P227">
        <v>105.36</v>
      </c>
      <c r="Q227">
        <f t="shared" si="18"/>
        <v>1.71</v>
      </c>
      <c r="R227">
        <v>11721</v>
      </c>
      <c r="S227">
        <f t="shared" si="19"/>
        <v>161</v>
      </c>
      <c r="T227">
        <f t="shared" si="21"/>
        <v>1.3049999999999999</v>
      </c>
      <c r="U227">
        <f t="shared" si="22"/>
        <v>158.91719999999998</v>
      </c>
      <c r="V227">
        <f t="shared" si="23"/>
        <v>16763.52</v>
      </c>
      <c r="W227" s="58" t="str">
        <f t="shared" si="24"/>
        <v>40° Skew Variable Width Abutment 25% Skewed Wings</v>
      </c>
    </row>
    <row r="228" spans="13:23" x14ac:dyDescent="0.25">
      <c r="M228" t="s">
        <v>132</v>
      </c>
      <c r="N228">
        <v>15</v>
      </c>
      <c r="O228" t="str">
        <f t="shared" si="20"/>
        <v>40_25_15</v>
      </c>
      <c r="P228">
        <v>129.56</v>
      </c>
      <c r="Q228">
        <f t="shared" si="18"/>
        <v>1.86</v>
      </c>
      <c r="R228">
        <v>16006</v>
      </c>
      <c r="S228">
        <f t="shared" si="19"/>
        <v>198.6</v>
      </c>
      <c r="T228">
        <f t="shared" si="21"/>
        <v>1.3049999999999999</v>
      </c>
      <c r="U228">
        <f t="shared" si="22"/>
        <v>187.8152</v>
      </c>
      <c r="V228">
        <f t="shared" si="23"/>
        <v>22226.151999999998</v>
      </c>
      <c r="W228" s="58" t="str">
        <f t="shared" si="24"/>
        <v>40° Skew Variable Width Abutment 25% Skewed Wings</v>
      </c>
    </row>
    <row r="229" spans="13:23" x14ac:dyDescent="0.25">
      <c r="M229" t="s">
        <v>132</v>
      </c>
      <c r="N229">
        <v>16</v>
      </c>
      <c r="O229" t="str">
        <f t="shared" si="20"/>
        <v>40_25_16</v>
      </c>
      <c r="P229">
        <v>134.44</v>
      </c>
      <c r="Q229">
        <f t="shared" si="18"/>
        <v>1.93</v>
      </c>
      <c r="R229">
        <v>16006</v>
      </c>
      <c r="S229">
        <f t="shared" si="19"/>
        <v>198.6</v>
      </c>
      <c r="T229">
        <f t="shared" si="21"/>
        <v>1.3049999999999999</v>
      </c>
      <c r="U229">
        <f t="shared" si="22"/>
        <v>194.88759999999999</v>
      </c>
      <c r="V229">
        <f t="shared" si="23"/>
        <v>22226.151999999998</v>
      </c>
      <c r="W229" s="58" t="str">
        <f t="shared" si="24"/>
        <v>40° Skew Variable Width Abutment 25% Skewed Wings</v>
      </c>
    </row>
    <row r="230" spans="13:23" x14ac:dyDescent="0.25">
      <c r="M230" t="s">
        <v>133</v>
      </c>
      <c r="N230">
        <v>5</v>
      </c>
      <c r="O230" t="str">
        <f t="shared" si="20"/>
        <v>45_25_5</v>
      </c>
      <c r="P230">
        <v>25.56</v>
      </c>
      <c r="Q230">
        <f t="shared" si="18"/>
        <v>0.71</v>
      </c>
      <c r="R230">
        <v>2445</v>
      </c>
      <c r="S230">
        <f t="shared" si="19"/>
        <v>52.8</v>
      </c>
      <c r="T230">
        <f t="shared" si="21"/>
        <v>1.4139999999999999</v>
      </c>
      <c r="U230">
        <f t="shared" si="22"/>
        <v>49.654559999999996</v>
      </c>
      <c r="V230">
        <f t="shared" si="23"/>
        <v>4236.8207999999995</v>
      </c>
      <c r="W230" s="58" t="str">
        <f t="shared" si="24"/>
        <v>45° Skew Variable Width Abutment 25% Skewed Wings</v>
      </c>
    </row>
    <row r="231" spans="13:23" x14ac:dyDescent="0.25">
      <c r="M231" t="s">
        <v>133</v>
      </c>
      <c r="N231">
        <v>6</v>
      </c>
      <c r="O231" t="str">
        <f t="shared" si="20"/>
        <v>45_25_6</v>
      </c>
      <c r="P231">
        <v>27.83</v>
      </c>
      <c r="Q231">
        <f t="shared" si="18"/>
        <v>0.78</v>
      </c>
      <c r="R231">
        <v>2445</v>
      </c>
      <c r="S231">
        <f t="shared" si="19"/>
        <v>52.8</v>
      </c>
      <c r="T231">
        <f t="shared" si="21"/>
        <v>1.4139999999999999</v>
      </c>
      <c r="U231">
        <f t="shared" si="22"/>
        <v>54.300079999999994</v>
      </c>
      <c r="V231">
        <f t="shared" si="23"/>
        <v>4236.8207999999995</v>
      </c>
      <c r="W231" s="58" t="str">
        <f t="shared" si="24"/>
        <v>45° Skew Variable Width Abutment 25% Skewed Wings</v>
      </c>
    </row>
    <row r="232" spans="13:23" x14ac:dyDescent="0.25">
      <c r="M232" t="s">
        <v>133</v>
      </c>
      <c r="N232">
        <v>7</v>
      </c>
      <c r="O232" t="str">
        <f t="shared" si="20"/>
        <v>45_25_7</v>
      </c>
      <c r="P232">
        <v>39.56</v>
      </c>
      <c r="Q232">
        <f t="shared" si="18"/>
        <v>0.93</v>
      </c>
      <c r="R232">
        <v>3668</v>
      </c>
      <c r="S232">
        <f t="shared" si="19"/>
        <v>68.7</v>
      </c>
      <c r="T232">
        <f t="shared" si="21"/>
        <v>1.4139999999999999</v>
      </c>
      <c r="U232">
        <f t="shared" si="22"/>
        <v>71.120480000000001</v>
      </c>
      <c r="V232">
        <f t="shared" si="23"/>
        <v>5999.4032000000007</v>
      </c>
      <c r="W232" s="58" t="str">
        <f t="shared" si="24"/>
        <v>45° Skew Variable Width Abutment 25% Skewed Wings</v>
      </c>
    </row>
    <row r="233" spans="13:23" x14ac:dyDescent="0.25">
      <c r="M233" t="s">
        <v>133</v>
      </c>
      <c r="N233">
        <v>8</v>
      </c>
      <c r="O233" t="str">
        <f t="shared" si="20"/>
        <v>45_25_8</v>
      </c>
      <c r="P233">
        <v>42.35</v>
      </c>
      <c r="Q233">
        <f t="shared" si="18"/>
        <v>1.01</v>
      </c>
      <c r="R233">
        <v>3668</v>
      </c>
      <c r="S233">
        <f t="shared" si="19"/>
        <v>68.7</v>
      </c>
      <c r="T233">
        <f t="shared" si="21"/>
        <v>1.4139999999999999</v>
      </c>
      <c r="U233">
        <f t="shared" si="22"/>
        <v>76.625360000000001</v>
      </c>
      <c r="V233">
        <f t="shared" si="23"/>
        <v>5999.4032000000007</v>
      </c>
      <c r="W233" s="58" t="str">
        <f t="shared" si="24"/>
        <v>45° Skew Variable Width Abutment 25% Skewed Wings</v>
      </c>
    </row>
    <row r="234" spans="13:23" x14ac:dyDescent="0.25">
      <c r="M234" t="s">
        <v>133</v>
      </c>
      <c r="N234">
        <v>9</v>
      </c>
      <c r="O234" t="str">
        <f t="shared" si="20"/>
        <v>45_25_9</v>
      </c>
      <c r="P234">
        <v>58.33</v>
      </c>
      <c r="Q234">
        <f t="shared" si="18"/>
        <v>1.19</v>
      </c>
      <c r="R234">
        <v>5496</v>
      </c>
      <c r="S234">
        <f t="shared" si="19"/>
        <v>91</v>
      </c>
      <c r="T234">
        <f t="shared" si="21"/>
        <v>1.4139999999999999</v>
      </c>
      <c r="U234">
        <f t="shared" si="22"/>
        <v>98.713840000000005</v>
      </c>
      <c r="V234">
        <f t="shared" si="23"/>
        <v>8584.1759999999995</v>
      </c>
      <c r="W234" s="58" t="str">
        <f t="shared" si="24"/>
        <v>45° Skew Variable Width Abutment 25% Skewed Wings</v>
      </c>
    </row>
    <row r="235" spans="13:23" x14ac:dyDescent="0.25">
      <c r="M235" t="s">
        <v>133</v>
      </c>
      <c r="N235">
        <v>10</v>
      </c>
      <c r="O235" t="str">
        <f t="shared" si="20"/>
        <v>45_25_10</v>
      </c>
      <c r="P235">
        <v>61.64</v>
      </c>
      <c r="Q235">
        <f t="shared" ref="Q235:Q241" si="25">Q223</f>
        <v>1.27</v>
      </c>
      <c r="R235">
        <v>5496</v>
      </c>
      <c r="S235">
        <f t="shared" ref="S235:S241" si="26">S223</f>
        <v>91</v>
      </c>
      <c r="T235">
        <f t="shared" si="21"/>
        <v>1.4139999999999999</v>
      </c>
      <c r="U235">
        <f t="shared" si="22"/>
        <v>104.73872</v>
      </c>
      <c r="V235">
        <f t="shared" si="23"/>
        <v>8584.1759999999995</v>
      </c>
      <c r="W235" s="58" t="str">
        <f t="shared" si="24"/>
        <v>45° Skew Variable Width Abutment 25% Skewed Wings</v>
      </c>
    </row>
    <row r="236" spans="13:23" x14ac:dyDescent="0.25">
      <c r="M236" t="s">
        <v>133</v>
      </c>
      <c r="N236">
        <v>11</v>
      </c>
      <c r="O236" t="str">
        <f t="shared" si="20"/>
        <v>45_25_11</v>
      </c>
      <c r="P236">
        <v>81.84</v>
      </c>
      <c r="Q236">
        <f t="shared" si="25"/>
        <v>1.41</v>
      </c>
      <c r="R236">
        <v>8376</v>
      </c>
      <c r="S236">
        <f t="shared" si="26"/>
        <v>120.4</v>
      </c>
      <c r="T236">
        <f t="shared" si="21"/>
        <v>1.4139999999999999</v>
      </c>
      <c r="U236">
        <f t="shared" si="22"/>
        <v>129.68975999999998</v>
      </c>
      <c r="V236">
        <f t="shared" si="23"/>
        <v>12461.894400000001</v>
      </c>
      <c r="W236" s="58" t="str">
        <f t="shared" si="24"/>
        <v>45° Skew Variable Width Abutment 25% Skewed Wings</v>
      </c>
    </row>
    <row r="237" spans="13:23" x14ac:dyDescent="0.25">
      <c r="M237" t="s">
        <v>133</v>
      </c>
      <c r="N237">
        <v>12</v>
      </c>
      <c r="O237" t="str">
        <f t="shared" si="20"/>
        <v>45_25_12</v>
      </c>
      <c r="P237">
        <v>85.81</v>
      </c>
      <c r="Q237">
        <f t="shared" si="25"/>
        <v>1.49</v>
      </c>
      <c r="R237">
        <v>8376</v>
      </c>
      <c r="S237">
        <f t="shared" si="26"/>
        <v>120.4</v>
      </c>
      <c r="T237">
        <f t="shared" si="21"/>
        <v>1.4139999999999999</v>
      </c>
      <c r="U237">
        <f t="shared" si="22"/>
        <v>136.37464</v>
      </c>
      <c r="V237">
        <f t="shared" si="23"/>
        <v>12461.894400000001</v>
      </c>
      <c r="W237" s="58" t="str">
        <f t="shared" si="24"/>
        <v>45° Skew Variable Width Abutment 25% Skewed Wings</v>
      </c>
    </row>
    <row r="238" spans="13:23" x14ac:dyDescent="0.25">
      <c r="M238" t="s">
        <v>133</v>
      </c>
      <c r="N238">
        <v>13</v>
      </c>
      <c r="O238" t="str">
        <f t="shared" si="20"/>
        <v>45_25_13</v>
      </c>
      <c r="P238">
        <v>105.88</v>
      </c>
      <c r="Q238">
        <f t="shared" si="25"/>
        <v>1.64</v>
      </c>
      <c r="R238">
        <v>12251</v>
      </c>
      <c r="S238">
        <f t="shared" si="26"/>
        <v>161</v>
      </c>
      <c r="T238">
        <f t="shared" si="21"/>
        <v>1.4139999999999999</v>
      </c>
      <c r="U238">
        <f t="shared" si="22"/>
        <v>161.53503999999998</v>
      </c>
      <c r="V238">
        <f t="shared" si="23"/>
        <v>17714.696</v>
      </c>
      <c r="W238" s="58" t="str">
        <f t="shared" si="24"/>
        <v>45° Skew Variable Width Abutment 25% Skewed Wings</v>
      </c>
    </row>
    <row r="239" spans="13:23" x14ac:dyDescent="0.25">
      <c r="M239" t="s">
        <v>133</v>
      </c>
      <c r="N239">
        <v>14</v>
      </c>
      <c r="O239" t="str">
        <f t="shared" si="20"/>
        <v>45_25_14</v>
      </c>
      <c r="P239">
        <v>110.37</v>
      </c>
      <c r="Q239">
        <f t="shared" si="25"/>
        <v>1.71</v>
      </c>
      <c r="R239">
        <v>12251</v>
      </c>
      <c r="S239">
        <f t="shared" si="26"/>
        <v>161</v>
      </c>
      <c r="T239">
        <f t="shared" si="21"/>
        <v>1.4139999999999999</v>
      </c>
      <c r="U239">
        <f t="shared" si="22"/>
        <v>168.40055999999998</v>
      </c>
      <c r="V239">
        <f t="shared" si="23"/>
        <v>17714.696</v>
      </c>
      <c r="W239" s="58" t="str">
        <f t="shared" si="24"/>
        <v>45° Skew Variable Width Abutment 25% Skewed Wings</v>
      </c>
    </row>
    <row r="240" spans="13:23" x14ac:dyDescent="0.25">
      <c r="M240" t="s">
        <v>133</v>
      </c>
      <c r="N240">
        <v>15</v>
      </c>
      <c r="O240" t="str">
        <f t="shared" si="20"/>
        <v>45_25_15</v>
      </c>
      <c r="P240">
        <v>134.97999999999999</v>
      </c>
      <c r="Q240">
        <f t="shared" si="25"/>
        <v>1.86</v>
      </c>
      <c r="R240">
        <v>16645</v>
      </c>
      <c r="S240">
        <f t="shared" si="26"/>
        <v>198.6</v>
      </c>
      <c r="T240">
        <f t="shared" si="21"/>
        <v>1.4139999999999999</v>
      </c>
      <c r="U240">
        <f t="shared" si="22"/>
        <v>198.10095999999999</v>
      </c>
      <c r="V240">
        <f t="shared" si="23"/>
        <v>23384.689599999998</v>
      </c>
      <c r="W240" s="58" t="str">
        <f t="shared" si="24"/>
        <v>45° Skew Variable Width Abutment 25% Skewed Wings</v>
      </c>
    </row>
    <row r="241" spans="13:23" x14ac:dyDescent="0.25">
      <c r="M241" t="s">
        <v>133</v>
      </c>
      <c r="N241">
        <v>16</v>
      </c>
      <c r="O241" t="str">
        <f t="shared" si="20"/>
        <v>45_25_16</v>
      </c>
      <c r="P241">
        <v>140.07</v>
      </c>
      <c r="Q241">
        <f t="shared" si="25"/>
        <v>1.93</v>
      </c>
      <c r="R241">
        <v>16645</v>
      </c>
      <c r="S241">
        <f t="shared" si="26"/>
        <v>198.6</v>
      </c>
      <c r="T241">
        <f t="shared" si="21"/>
        <v>1.4139999999999999</v>
      </c>
      <c r="U241">
        <f t="shared" si="22"/>
        <v>205.56647999999998</v>
      </c>
      <c r="V241">
        <f t="shared" si="23"/>
        <v>23384.689599999998</v>
      </c>
      <c r="W241" s="58" t="str">
        <f t="shared" si="24"/>
        <v>45° Skew Variable Width Abutment 25% Skewed Wings</v>
      </c>
    </row>
    <row r="242" spans="13:23" x14ac:dyDescent="0.25">
      <c r="M242" t="s">
        <v>134</v>
      </c>
      <c r="N242">
        <f>N230</f>
        <v>5</v>
      </c>
      <c r="O242" t="str">
        <f t="shared" si="20"/>
        <v>00_00_5</v>
      </c>
      <c r="P242">
        <v>24.52</v>
      </c>
      <c r="Q242">
        <f>Q230</f>
        <v>0.71</v>
      </c>
      <c r="R242">
        <v>2346</v>
      </c>
      <c r="S242">
        <f>S230</f>
        <v>52.8</v>
      </c>
      <c r="T242">
        <f t="shared" si="21"/>
        <v>1</v>
      </c>
      <c r="U242">
        <f t="shared" si="22"/>
        <v>41.56</v>
      </c>
      <c r="V242">
        <f t="shared" si="23"/>
        <v>3613.2</v>
      </c>
      <c r="W242" s="58" t="str">
        <f>CONCATENATE(LEFT(M242,2)*1,"° Skew Variable Width Abutment ","Parallel Wings")</f>
        <v>0° Skew Variable Width Abutment Parallel Wings</v>
      </c>
    </row>
    <row r="243" spans="13:23" x14ac:dyDescent="0.25">
      <c r="M243" t="s">
        <v>134</v>
      </c>
      <c r="N243">
        <f t="shared" ref="N243:N306" si="27">N231</f>
        <v>6</v>
      </c>
      <c r="O243" t="str">
        <f t="shared" si="20"/>
        <v>00_00_6</v>
      </c>
      <c r="P243">
        <v>26.6</v>
      </c>
      <c r="Q243">
        <f t="shared" ref="Q243:Q306" si="28">Q231</f>
        <v>0.78</v>
      </c>
      <c r="R243">
        <v>2346</v>
      </c>
      <c r="S243">
        <f t="shared" ref="S243:S306" si="29">S231</f>
        <v>52.8</v>
      </c>
      <c r="T243">
        <f t="shared" si="21"/>
        <v>1</v>
      </c>
      <c r="U243">
        <f t="shared" si="22"/>
        <v>45.32</v>
      </c>
      <c r="V243">
        <f t="shared" si="23"/>
        <v>3613.2</v>
      </c>
      <c r="W243" s="58" t="str">
        <f t="shared" ref="W243:W306" si="30">CONCATENATE(LEFT(M243,2)*1,"° Skew Variable Width Abutment ","Parallel Wings")</f>
        <v>0° Skew Variable Width Abutment Parallel Wings</v>
      </c>
    </row>
    <row r="244" spans="13:23" x14ac:dyDescent="0.25">
      <c r="M244" t="s">
        <v>134</v>
      </c>
      <c r="N244">
        <f t="shared" si="27"/>
        <v>7</v>
      </c>
      <c r="O244" t="str">
        <f t="shared" si="20"/>
        <v>00_00_7</v>
      </c>
      <c r="P244">
        <v>37.32</v>
      </c>
      <c r="Q244">
        <f t="shared" si="28"/>
        <v>0.93</v>
      </c>
      <c r="R244">
        <v>3489</v>
      </c>
      <c r="S244">
        <f t="shared" si="29"/>
        <v>68.7</v>
      </c>
      <c r="T244">
        <f t="shared" si="21"/>
        <v>1</v>
      </c>
      <c r="U244">
        <f t="shared" si="22"/>
        <v>59.64</v>
      </c>
      <c r="V244">
        <f t="shared" si="23"/>
        <v>5137.8</v>
      </c>
      <c r="W244" s="58" t="str">
        <f t="shared" si="30"/>
        <v>0° Skew Variable Width Abutment Parallel Wings</v>
      </c>
    </row>
    <row r="245" spans="13:23" x14ac:dyDescent="0.25">
      <c r="M245" t="s">
        <v>134</v>
      </c>
      <c r="N245">
        <f t="shared" si="27"/>
        <v>8</v>
      </c>
      <c r="O245" t="str">
        <f t="shared" si="20"/>
        <v>00_00_8</v>
      </c>
      <c r="P245">
        <v>39.840000000000003</v>
      </c>
      <c r="Q245">
        <f t="shared" si="28"/>
        <v>1.01</v>
      </c>
      <c r="R245">
        <v>3489</v>
      </c>
      <c r="S245">
        <f t="shared" si="29"/>
        <v>68.7</v>
      </c>
      <c r="T245">
        <f t="shared" si="21"/>
        <v>1</v>
      </c>
      <c r="U245">
        <f t="shared" si="22"/>
        <v>64.080000000000013</v>
      </c>
      <c r="V245">
        <f t="shared" si="23"/>
        <v>5137.8</v>
      </c>
      <c r="W245" s="58" t="str">
        <f t="shared" si="30"/>
        <v>0° Skew Variable Width Abutment Parallel Wings</v>
      </c>
    </row>
    <row r="246" spans="13:23" x14ac:dyDescent="0.25">
      <c r="M246" t="s">
        <v>134</v>
      </c>
      <c r="N246">
        <f t="shared" si="27"/>
        <v>9</v>
      </c>
      <c r="O246" t="str">
        <f t="shared" si="20"/>
        <v>00_00_9</v>
      </c>
      <c r="P246">
        <v>59.68</v>
      </c>
      <c r="Q246">
        <f t="shared" si="28"/>
        <v>1.19</v>
      </c>
      <c r="R246">
        <v>5624</v>
      </c>
      <c r="S246">
        <f t="shared" si="29"/>
        <v>91</v>
      </c>
      <c r="T246">
        <f t="shared" si="21"/>
        <v>1</v>
      </c>
      <c r="U246">
        <f t="shared" si="22"/>
        <v>88.24</v>
      </c>
      <c r="V246">
        <f t="shared" si="23"/>
        <v>7808</v>
      </c>
      <c r="W246" s="58" t="str">
        <f t="shared" si="30"/>
        <v>0° Skew Variable Width Abutment Parallel Wings</v>
      </c>
    </row>
    <row r="247" spans="13:23" x14ac:dyDescent="0.25">
      <c r="M247" t="s">
        <v>134</v>
      </c>
      <c r="N247">
        <f t="shared" si="27"/>
        <v>10</v>
      </c>
      <c r="O247" t="str">
        <f t="shared" si="20"/>
        <v>00_00_10</v>
      </c>
      <c r="P247">
        <v>62.94</v>
      </c>
      <c r="Q247">
        <f t="shared" si="28"/>
        <v>1.27</v>
      </c>
      <c r="R247">
        <v>5624</v>
      </c>
      <c r="S247">
        <f t="shared" si="29"/>
        <v>91</v>
      </c>
      <c r="T247">
        <f t="shared" si="21"/>
        <v>1</v>
      </c>
      <c r="U247">
        <f t="shared" si="22"/>
        <v>93.42</v>
      </c>
      <c r="V247">
        <f t="shared" si="23"/>
        <v>7808</v>
      </c>
      <c r="W247" s="58" t="str">
        <f t="shared" si="30"/>
        <v>0° Skew Variable Width Abutment Parallel Wings</v>
      </c>
    </row>
    <row r="248" spans="13:23" x14ac:dyDescent="0.25">
      <c r="M248" t="s">
        <v>134</v>
      </c>
      <c r="N248">
        <f t="shared" si="27"/>
        <v>11</v>
      </c>
      <c r="O248" t="str">
        <f t="shared" si="20"/>
        <v>00_00_11</v>
      </c>
      <c r="P248">
        <v>82.06</v>
      </c>
      <c r="Q248">
        <f t="shared" si="28"/>
        <v>1.41</v>
      </c>
      <c r="R248">
        <v>8428</v>
      </c>
      <c r="S248">
        <f t="shared" si="29"/>
        <v>120.4</v>
      </c>
      <c r="T248">
        <f t="shared" si="21"/>
        <v>1</v>
      </c>
      <c r="U248">
        <f t="shared" si="22"/>
        <v>115.9</v>
      </c>
      <c r="V248">
        <f t="shared" si="23"/>
        <v>11317.6</v>
      </c>
      <c r="W248" s="58" t="str">
        <f t="shared" si="30"/>
        <v>0° Skew Variable Width Abutment Parallel Wings</v>
      </c>
    </row>
    <row r="249" spans="13:23" x14ac:dyDescent="0.25">
      <c r="M249" t="s">
        <v>134</v>
      </c>
      <c r="N249">
        <f t="shared" si="27"/>
        <v>12</v>
      </c>
      <c r="O249" t="str">
        <f t="shared" si="20"/>
        <v>00_00_12</v>
      </c>
      <c r="P249">
        <v>85.92</v>
      </c>
      <c r="Q249">
        <f t="shared" si="28"/>
        <v>1.49</v>
      </c>
      <c r="R249">
        <v>8428</v>
      </c>
      <c r="S249">
        <f t="shared" si="29"/>
        <v>120.4</v>
      </c>
      <c r="T249">
        <f t="shared" si="21"/>
        <v>1</v>
      </c>
      <c r="U249">
        <f t="shared" si="22"/>
        <v>121.68</v>
      </c>
      <c r="V249">
        <f t="shared" si="23"/>
        <v>11317.6</v>
      </c>
      <c r="W249" s="58" t="str">
        <f t="shared" si="30"/>
        <v>0° Skew Variable Width Abutment Parallel Wings</v>
      </c>
    </row>
    <row r="250" spans="13:23" x14ac:dyDescent="0.25">
      <c r="M250" t="s">
        <v>134</v>
      </c>
      <c r="N250">
        <f t="shared" si="27"/>
        <v>13</v>
      </c>
      <c r="O250" t="str">
        <f t="shared" si="20"/>
        <v>00_00_13</v>
      </c>
      <c r="P250">
        <v>108.01</v>
      </c>
      <c r="Q250">
        <f t="shared" si="28"/>
        <v>1.64</v>
      </c>
      <c r="R250">
        <v>12499</v>
      </c>
      <c r="S250">
        <f t="shared" si="29"/>
        <v>161</v>
      </c>
      <c r="T250">
        <f t="shared" si="21"/>
        <v>1</v>
      </c>
      <c r="U250">
        <f t="shared" si="22"/>
        <v>147.37</v>
      </c>
      <c r="V250">
        <f t="shared" si="23"/>
        <v>16363</v>
      </c>
      <c r="W250" s="58" t="str">
        <f t="shared" si="30"/>
        <v>0° Skew Variable Width Abutment Parallel Wings</v>
      </c>
    </row>
    <row r="251" spans="13:23" x14ac:dyDescent="0.25">
      <c r="M251" t="s">
        <v>134</v>
      </c>
      <c r="N251">
        <f t="shared" si="27"/>
        <v>14</v>
      </c>
      <c r="O251" t="str">
        <f t="shared" si="20"/>
        <v>00_00_14</v>
      </c>
      <c r="P251">
        <v>112.46</v>
      </c>
      <c r="Q251">
        <f t="shared" si="28"/>
        <v>1.71</v>
      </c>
      <c r="R251">
        <v>12499</v>
      </c>
      <c r="S251">
        <f t="shared" si="29"/>
        <v>161</v>
      </c>
      <c r="T251">
        <f t="shared" si="21"/>
        <v>1</v>
      </c>
      <c r="U251">
        <f t="shared" si="22"/>
        <v>153.5</v>
      </c>
      <c r="V251">
        <f t="shared" si="23"/>
        <v>16363</v>
      </c>
      <c r="W251" s="58" t="str">
        <f t="shared" si="30"/>
        <v>0° Skew Variable Width Abutment Parallel Wings</v>
      </c>
    </row>
    <row r="252" spans="13:23" x14ac:dyDescent="0.25">
      <c r="M252" t="s">
        <v>134</v>
      </c>
      <c r="N252">
        <f t="shared" si="27"/>
        <v>15</v>
      </c>
      <c r="O252" t="str">
        <f t="shared" si="20"/>
        <v>00_00_15</v>
      </c>
      <c r="P252">
        <v>133.47999999999999</v>
      </c>
      <c r="Q252">
        <f t="shared" si="28"/>
        <v>1.86</v>
      </c>
      <c r="R252">
        <v>16606</v>
      </c>
      <c r="S252">
        <f t="shared" si="29"/>
        <v>198.6</v>
      </c>
      <c r="T252">
        <f t="shared" si="21"/>
        <v>1</v>
      </c>
      <c r="U252">
        <f t="shared" si="22"/>
        <v>178.12</v>
      </c>
      <c r="V252">
        <f t="shared" si="23"/>
        <v>21372.400000000001</v>
      </c>
      <c r="W252" s="58" t="str">
        <f t="shared" si="30"/>
        <v>0° Skew Variable Width Abutment Parallel Wings</v>
      </c>
    </row>
    <row r="253" spans="13:23" x14ac:dyDescent="0.25">
      <c r="M253" t="s">
        <v>134</v>
      </c>
      <c r="N253">
        <f t="shared" si="27"/>
        <v>16</v>
      </c>
      <c r="O253" t="str">
        <f t="shared" si="20"/>
        <v>00_00_16</v>
      </c>
      <c r="P253">
        <v>138.37</v>
      </c>
      <c r="Q253">
        <f t="shared" si="28"/>
        <v>1.93</v>
      </c>
      <c r="R253">
        <v>16606</v>
      </c>
      <c r="S253">
        <f t="shared" si="29"/>
        <v>198.6</v>
      </c>
      <c r="T253">
        <f t="shared" si="21"/>
        <v>1</v>
      </c>
      <c r="U253">
        <f t="shared" si="22"/>
        <v>184.69</v>
      </c>
      <c r="V253">
        <f t="shared" si="23"/>
        <v>21372.400000000001</v>
      </c>
      <c r="W253" s="58" t="str">
        <f t="shared" si="30"/>
        <v>0° Skew Variable Width Abutment Parallel Wings</v>
      </c>
    </row>
    <row r="254" spans="13:23" x14ac:dyDescent="0.25">
      <c r="M254" t="s">
        <v>135</v>
      </c>
      <c r="N254">
        <f t="shared" si="27"/>
        <v>5</v>
      </c>
      <c r="O254" t="str">
        <f t="shared" si="20"/>
        <v>05_00_5</v>
      </c>
      <c r="P254">
        <v>24.56</v>
      </c>
      <c r="Q254">
        <f t="shared" si="28"/>
        <v>0.71</v>
      </c>
      <c r="R254">
        <v>2339</v>
      </c>
      <c r="S254">
        <f t="shared" si="29"/>
        <v>52.8</v>
      </c>
      <c r="T254">
        <f t="shared" si="21"/>
        <v>1.004</v>
      </c>
      <c r="U254">
        <f t="shared" si="22"/>
        <v>41.66816</v>
      </c>
      <c r="V254">
        <f t="shared" si="23"/>
        <v>3611.2687999999998</v>
      </c>
      <c r="W254" s="58" t="str">
        <f t="shared" si="30"/>
        <v>5° Skew Variable Width Abutment Parallel Wings</v>
      </c>
    </row>
    <row r="255" spans="13:23" x14ac:dyDescent="0.25">
      <c r="M255" t="s">
        <v>135</v>
      </c>
      <c r="N255">
        <f t="shared" si="27"/>
        <v>6</v>
      </c>
      <c r="O255" t="str">
        <f t="shared" si="20"/>
        <v>05_00_6</v>
      </c>
      <c r="P255">
        <v>26.64</v>
      </c>
      <c r="Q255">
        <f t="shared" si="28"/>
        <v>0.78</v>
      </c>
      <c r="R255">
        <v>2339</v>
      </c>
      <c r="S255">
        <f t="shared" si="29"/>
        <v>52.8</v>
      </c>
      <c r="T255">
        <f t="shared" si="21"/>
        <v>1.004</v>
      </c>
      <c r="U255">
        <f t="shared" si="22"/>
        <v>45.43488</v>
      </c>
      <c r="V255">
        <f t="shared" si="23"/>
        <v>3611.2687999999998</v>
      </c>
      <c r="W255" s="58" t="str">
        <f t="shared" si="30"/>
        <v>5° Skew Variable Width Abutment Parallel Wings</v>
      </c>
    </row>
    <row r="256" spans="13:23" x14ac:dyDescent="0.25">
      <c r="M256" t="s">
        <v>135</v>
      </c>
      <c r="N256">
        <f t="shared" si="27"/>
        <v>7</v>
      </c>
      <c r="O256" t="str">
        <f t="shared" si="20"/>
        <v>05_00_7</v>
      </c>
      <c r="P256">
        <v>37.36</v>
      </c>
      <c r="Q256">
        <f t="shared" si="28"/>
        <v>0.93</v>
      </c>
      <c r="R256">
        <v>3482</v>
      </c>
      <c r="S256">
        <f t="shared" si="29"/>
        <v>68.7</v>
      </c>
      <c r="T256">
        <f t="shared" si="21"/>
        <v>1.004</v>
      </c>
      <c r="U256">
        <f t="shared" si="22"/>
        <v>59.769279999999995</v>
      </c>
      <c r="V256">
        <f t="shared" si="23"/>
        <v>5137.3951999999999</v>
      </c>
      <c r="W256" s="58" t="str">
        <f t="shared" si="30"/>
        <v>5° Skew Variable Width Abutment Parallel Wings</v>
      </c>
    </row>
    <row r="257" spans="13:23" x14ac:dyDescent="0.25">
      <c r="M257" t="s">
        <v>135</v>
      </c>
      <c r="N257">
        <f t="shared" si="27"/>
        <v>8</v>
      </c>
      <c r="O257" t="str">
        <f t="shared" si="20"/>
        <v>05_00_8</v>
      </c>
      <c r="P257">
        <v>39.89</v>
      </c>
      <c r="Q257">
        <f t="shared" si="28"/>
        <v>1.01</v>
      </c>
      <c r="R257">
        <v>3482</v>
      </c>
      <c r="S257">
        <f t="shared" si="29"/>
        <v>68.7</v>
      </c>
      <c r="T257">
        <f t="shared" si="21"/>
        <v>1.004</v>
      </c>
      <c r="U257">
        <f t="shared" si="22"/>
        <v>64.226960000000005</v>
      </c>
      <c r="V257">
        <f t="shared" si="23"/>
        <v>5137.3951999999999</v>
      </c>
      <c r="W257" s="58" t="str">
        <f t="shared" si="30"/>
        <v>5° Skew Variable Width Abutment Parallel Wings</v>
      </c>
    </row>
    <row r="258" spans="13:23" x14ac:dyDescent="0.25">
      <c r="M258" t="s">
        <v>135</v>
      </c>
      <c r="N258">
        <f t="shared" si="27"/>
        <v>9</v>
      </c>
      <c r="O258" t="str">
        <f t="shared" si="20"/>
        <v>05_00_9</v>
      </c>
      <c r="P258">
        <v>59.73</v>
      </c>
      <c r="Q258">
        <f t="shared" si="28"/>
        <v>1.19</v>
      </c>
      <c r="R258">
        <v>5619</v>
      </c>
      <c r="S258">
        <f t="shared" si="29"/>
        <v>91</v>
      </c>
      <c r="T258">
        <f t="shared" si="21"/>
        <v>1.004</v>
      </c>
      <c r="U258">
        <f t="shared" si="22"/>
        <v>88.404239999999987</v>
      </c>
      <c r="V258">
        <f t="shared" si="23"/>
        <v>7811.7359999999999</v>
      </c>
      <c r="W258" s="58" t="str">
        <f t="shared" si="30"/>
        <v>5° Skew Variable Width Abutment Parallel Wings</v>
      </c>
    </row>
    <row r="259" spans="13:23" x14ac:dyDescent="0.25">
      <c r="M259" t="s">
        <v>135</v>
      </c>
      <c r="N259">
        <f t="shared" si="27"/>
        <v>10</v>
      </c>
      <c r="O259" t="str">
        <f t="shared" ref="O259:O322" si="31">CONCATENATE(M259,"_",N259)</f>
        <v>05_00_10</v>
      </c>
      <c r="P259">
        <v>63</v>
      </c>
      <c r="Q259">
        <f t="shared" si="28"/>
        <v>1.27</v>
      </c>
      <c r="R259">
        <v>5619</v>
      </c>
      <c r="S259">
        <f t="shared" si="29"/>
        <v>91</v>
      </c>
      <c r="T259">
        <f t="shared" ref="T259:T322" si="32">ROUND(1/COS(RADIANS(LEFT(M259,2)*1)),3)</f>
        <v>1.004</v>
      </c>
      <c r="U259">
        <f t="shared" ref="U259:U322" si="33">P259+Q259*B$3*T259</f>
        <v>93.601920000000007</v>
      </c>
      <c r="V259">
        <f t="shared" ref="V259:V322" si="34">R259+S259*B$3*T259</f>
        <v>7811.7359999999999</v>
      </c>
      <c r="W259" s="58" t="str">
        <f t="shared" si="30"/>
        <v>5° Skew Variable Width Abutment Parallel Wings</v>
      </c>
    </row>
    <row r="260" spans="13:23" x14ac:dyDescent="0.25">
      <c r="M260" t="s">
        <v>135</v>
      </c>
      <c r="N260">
        <f t="shared" si="27"/>
        <v>11</v>
      </c>
      <c r="O260" t="str">
        <f t="shared" si="31"/>
        <v>05_00_11</v>
      </c>
      <c r="P260">
        <v>82.12</v>
      </c>
      <c r="Q260">
        <f t="shared" si="28"/>
        <v>1.41</v>
      </c>
      <c r="R260">
        <v>8421</v>
      </c>
      <c r="S260">
        <f t="shared" si="29"/>
        <v>120.4</v>
      </c>
      <c r="T260">
        <f t="shared" si="32"/>
        <v>1.004</v>
      </c>
      <c r="U260">
        <f t="shared" si="33"/>
        <v>116.09536</v>
      </c>
      <c r="V260">
        <f t="shared" si="34"/>
        <v>11322.1584</v>
      </c>
      <c r="W260" s="58" t="str">
        <f t="shared" si="30"/>
        <v>5° Skew Variable Width Abutment Parallel Wings</v>
      </c>
    </row>
    <row r="261" spans="13:23" x14ac:dyDescent="0.25">
      <c r="M261" t="s">
        <v>135</v>
      </c>
      <c r="N261">
        <f t="shared" si="27"/>
        <v>12</v>
      </c>
      <c r="O261" t="str">
        <f t="shared" si="31"/>
        <v>05_00_12</v>
      </c>
      <c r="P261">
        <v>85.99</v>
      </c>
      <c r="Q261">
        <f t="shared" si="28"/>
        <v>1.49</v>
      </c>
      <c r="R261">
        <v>8421</v>
      </c>
      <c r="S261">
        <f t="shared" si="29"/>
        <v>120.4</v>
      </c>
      <c r="T261">
        <f t="shared" si="32"/>
        <v>1.004</v>
      </c>
      <c r="U261">
        <f t="shared" si="33"/>
        <v>121.89303999999998</v>
      </c>
      <c r="V261">
        <f t="shared" si="34"/>
        <v>11322.1584</v>
      </c>
      <c r="W261" s="58" t="str">
        <f t="shared" si="30"/>
        <v>5° Skew Variable Width Abutment Parallel Wings</v>
      </c>
    </row>
    <row r="262" spans="13:23" x14ac:dyDescent="0.25">
      <c r="M262" t="s">
        <v>135</v>
      </c>
      <c r="N262">
        <f t="shared" si="27"/>
        <v>13</v>
      </c>
      <c r="O262" t="str">
        <f t="shared" si="31"/>
        <v>05_00_13</v>
      </c>
      <c r="P262">
        <v>108.08</v>
      </c>
      <c r="Q262">
        <f t="shared" si="28"/>
        <v>1.64</v>
      </c>
      <c r="R262">
        <v>12500</v>
      </c>
      <c r="S262">
        <f t="shared" si="29"/>
        <v>161</v>
      </c>
      <c r="T262">
        <f t="shared" si="32"/>
        <v>1.004</v>
      </c>
      <c r="U262">
        <f t="shared" si="33"/>
        <v>147.59744000000001</v>
      </c>
      <c r="V262">
        <f t="shared" si="34"/>
        <v>16379.456</v>
      </c>
      <c r="W262" s="58" t="str">
        <f t="shared" si="30"/>
        <v>5° Skew Variable Width Abutment Parallel Wings</v>
      </c>
    </row>
    <row r="263" spans="13:23" x14ac:dyDescent="0.25">
      <c r="M263" t="s">
        <v>135</v>
      </c>
      <c r="N263">
        <f t="shared" si="27"/>
        <v>14</v>
      </c>
      <c r="O263" t="str">
        <f t="shared" si="31"/>
        <v>05_00_14</v>
      </c>
      <c r="P263">
        <v>112.53</v>
      </c>
      <c r="Q263">
        <f t="shared" si="28"/>
        <v>1.71</v>
      </c>
      <c r="R263">
        <v>12500</v>
      </c>
      <c r="S263">
        <f t="shared" si="29"/>
        <v>161</v>
      </c>
      <c r="T263">
        <f t="shared" si="32"/>
        <v>1.004</v>
      </c>
      <c r="U263">
        <f t="shared" si="33"/>
        <v>153.73416</v>
      </c>
      <c r="V263">
        <f t="shared" si="34"/>
        <v>16379.456</v>
      </c>
      <c r="W263" s="58" t="str">
        <f t="shared" si="30"/>
        <v>5° Skew Variable Width Abutment Parallel Wings</v>
      </c>
    </row>
    <row r="264" spans="13:23" x14ac:dyDescent="0.25">
      <c r="M264" t="s">
        <v>135</v>
      </c>
      <c r="N264">
        <f t="shared" si="27"/>
        <v>15</v>
      </c>
      <c r="O264" t="str">
        <f t="shared" si="31"/>
        <v>05_00_15</v>
      </c>
      <c r="P264">
        <v>137.59</v>
      </c>
      <c r="Q264">
        <f t="shared" si="28"/>
        <v>1.86</v>
      </c>
      <c r="R264">
        <v>17030</v>
      </c>
      <c r="S264">
        <f t="shared" si="29"/>
        <v>198.6</v>
      </c>
      <c r="T264">
        <f t="shared" si="32"/>
        <v>1.004</v>
      </c>
      <c r="U264">
        <f t="shared" si="33"/>
        <v>182.40855999999999</v>
      </c>
      <c r="V264">
        <f t="shared" si="34"/>
        <v>21815.4656</v>
      </c>
      <c r="W264" s="58" t="str">
        <f t="shared" si="30"/>
        <v>5° Skew Variable Width Abutment Parallel Wings</v>
      </c>
    </row>
    <row r="265" spans="13:23" x14ac:dyDescent="0.25">
      <c r="M265" t="s">
        <v>135</v>
      </c>
      <c r="N265">
        <f t="shared" si="27"/>
        <v>16</v>
      </c>
      <c r="O265" t="str">
        <f t="shared" si="31"/>
        <v>05_00_16</v>
      </c>
      <c r="P265">
        <v>142.63</v>
      </c>
      <c r="Q265">
        <f t="shared" si="28"/>
        <v>1.93</v>
      </c>
      <c r="R265">
        <v>17030</v>
      </c>
      <c r="S265">
        <f t="shared" si="29"/>
        <v>198.6</v>
      </c>
      <c r="T265">
        <f t="shared" si="32"/>
        <v>1.004</v>
      </c>
      <c r="U265">
        <f t="shared" si="33"/>
        <v>189.13527999999999</v>
      </c>
      <c r="V265">
        <f t="shared" si="34"/>
        <v>21815.4656</v>
      </c>
      <c r="W265" s="58" t="str">
        <f t="shared" si="30"/>
        <v>5° Skew Variable Width Abutment Parallel Wings</v>
      </c>
    </row>
    <row r="266" spans="13:23" x14ac:dyDescent="0.25">
      <c r="M266" t="s">
        <v>136</v>
      </c>
      <c r="N266">
        <f t="shared" si="27"/>
        <v>5</v>
      </c>
      <c r="O266" t="str">
        <f t="shared" si="31"/>
        <v>10_00_5</v>
      </c>
      <c r="P266">
        <v>24.66</v>
      </c>
      <c r="Q266">
        <f t="shared" si="28"/>
        <v>0.71</v>
      </c>
      <c r="R266">
        <v>2345</v>
      </c>
      <c r="S266">
        <f t="shared" si="29"/>
        <v>52.8</v>
      </c>
      <c r="T266">
        <f t="shared" si="32"/>
        <v>1.0149999999999999</v>
      </c>
      <c r="U266">
        <f t="shared" si="33"/>
        <v>41.955599999999997</v>
      </c>
      <c r="V266">
        <f t="shared" si="34"/>
        <v>3631.2079999999996</v>
      </c>
      <c r="W266" s="58" t="str">
        <f t="shared" si="30"/>
        <v>10° Skew Variable Width Abutment Parallel Wings</v>
      </c>
    </row>
    <row r="267" spans="13:23" x14ac:dyDescent="0.25">
      <c r="M267" t="s">
        <v>136</v>
      </c>
      <c r="N267">
        <f t="shared" si="27"/>
        <v>6</v>
      </c>
      <c r="O267" t="str">
        <f t="shared" si="31"/>
        <v>10_00_6</v>
      </c>
      <c r="P267">
        <v>26.75</v>
      </c>
      <c r="Q267">
        <f t="shared" si="28"/>
        <v>0.78</v>
      </c>
      <c r="R267">
        <v>2345</v>
      </c>
      <c r="S267">
        <f t="shared" si="29"/>
        <v>52.8</v>
      </c>
      <c r="T267">
        <f t="shared" si="32"/>
        <v>1.0149999999999999</v>
      </c>
      <c r="U267">
        <f t="shared" si="33"/>
        <v>45.750799999999998</v>
      </c>
      <c r="V267">
        <f t="shared" si="34"/>
        <v>3631.2079999999996</v>
      </c>
      <c r="W267" s="58" t="str">
        <f t="shared" si="30"/>
        <v>10° Skew Variable Width Abutment Parallel Wings</v>
      </c>
    </row>
    <row r="268" spans="13:23" x14ac:dyDescent="0.25">
      <c r="M268" t="s">
        <v>136</v>
      </c>
      <c r="N268">
        <f t="shared" si="27"/>
        <v>7</v>
      </c>
      <c r="O268" t="str">
        <f t="shared" si="31"/>
        <v>10_00_7</v>
      </c>
      <c r="P268">
        <v>39.68</v>
      </c>
      <c r="Q268">
        <f t="shared" si="28"/>
        <v>0.93</v>
      </c>
      <c r="R268">
        <v>3655</v>
      </c>
      <c r="S268">
        <f t="shared" si="29"/>
        <v>68.7</v>
      </c>
      <c r="T268">
        <f t="shared" si="32"/>
        <v>1.0149999999999999</v>
      </c>
      <c r="U268">
        <f t="shared" si="33"/>
        <v>62.334800000000001</v>
      </c>
      <c r="V268">
        <f t="shared" si="34"/>
        <v>5328.5320000000002</v>
      </c>
      <c r="W268" s="58" t="str">
        <f t="shared" si="30"/>
        <v>10° Skew Variable Width Abutment Parallel Wings</v>
      </c>
    </row>
    <row r="269" spans="13:23" x14ac:dyDescent="0.25">
      <c r="M269" t="s">
        <v>136</v>
      </c>
      <c r="N269">
        <f t="shared" si="27"/>
        <v>8</v>
      </c>
      <c r="O269" t="str">
        <f t="shared" si="31"/>
        <v>10_00_8</v>
      </c>
      <c r="P269">
        <v>42.36</v>
      </c>
      <c r="Q269">
        <f t="shared" si="28"/>
        <v>1.01</v>
      </c>
      <c r="R269">
        <v>3655</v>
      </c>
      <c r="S269">
        <f t="shared" si="29"/>
        <v>68.7</v>
      </c>
      <c r="T269">
        <f t="shared" si="32"/>
        <v>1.0149999999999999</v>
      </c>
      <c r="U269">
        <f t="shared" si="33"/>
        <v>66.9636</v>
      </c>
      <c r="V269">
        <f t="shared" si="34"/>
        <v>5328.5320000000002</v>
      </c>
      <c r="W269" s="58" t="str">
        <f t="shared" si="30"/>
        <v>10° Skew Variable Width Abutment Parallel Wings</v>
      </c>
    </row>
    <row r="270" spans="13:23" x14ac:dyDescent="0.25">
      <c r="M270" t="s">
        <v>136</v>
      </c>
      <c r="N270">
        <f t="shared" si="27"/>
        <v>9</v>
      </c>
      <c r="O270" t="str">
        <f t="shared" si="31"/>
        <v>10_00_9</v>
      </c>
      <c r="P270">
        <v>62.59</v>
      </c>
      <c r="Q270">
        <f t="shared" si="28"/>
        <v>1.19</v>
      </c>
      <c r="R270">
        <v>5836</v>
      </c>
      <c r="S270">
        <f t="shared" si="29"/>
        <v>91</v>
      </c>
      <c r="T270">
        <f t="shared" si="32"/>
        <v>1.0149999999999999</v>
      </c>
      <c r="U270">
        <f t="shared" si="33"/>
        <v>91.578400000000002</v>
      </c>
      <c r="V270">
        <f t="shared" si="34"/>
        <v>8052.76</v>
      </c>
      <c r="W270" s="58" t="str">
        <f t="shared" si="30"/>
        <v>10° Skew Variable Width Abutment Parallel Wings</v>
      </c>
    </row>
    <row r="271" spans="13:23" x14ac:dyDescent="0.25">
      <c r="M271" t="s">
        <v>136</v>
      </c>
      <c r="N271">
        <f t="shared" si="27"/>
        <v>10</v>
      </c>
      <c r="O271" t="str">
        <f t="shared" si="31"/>
        <v>10_00_10</v>
      </c>
      <c r="P271">
        <v>66.02</v>
      </c>
      <c r="Q271">
        <f t="shared" si="28"/>
        <v>1.27</v>
      </c>
      <c r="R271">
        <v>5836</v>
      </c>
      <c r="S271">
        <f t="shared" si="29"/>
        <v>91</v>
      </c>
      <c r="T271">
        <f t="shared" si="32"/>
        <v>1.0149999999999999</v>
      </c>
      <c r="U271">
        <f t="shared" si="33"/>
        <v>96.9572</v>
      </c>
      <c r="V271">
        <f t="shared" si="34"/>
        <v>8052.76</v>
      </c>
      <c r="W271" s="58" t="str">
        <f t="shared" si="30"/>
        <v>10° Skew Variable Width Abutment Parallel Wings</v>
      </c>
    </row>
    <row r="272" spans="13:23" x14ac:dyDescent="0.25">
      <c r="M272" t="s">
        <v>136</v>
      </c>
      <c r="N272">
        <f t="shared" si="27"/>
        <v>11</v>
      </c>
      <c r="O272" t="str">
        <f t="shared" si="31"/>
        <v>10_00_11</v>
      </c>
      <c r="P272">
        <v>85.46</v>
      </c>
      <c r="Q272">
        <f t="shared" si="28"/>
        <v>1.41</v>
      </c>
      <c r="R272">
        <v>8700</v>
      </c>
      <c r="S272">
        <f t="shared" si="29"/>
        <v>120.4</v>
      </c>
      <c r="T272">
        <f t="shared" si="32"/>
        <v>1.0149999999999999</v>
      </c>
      <c r="U272">
        <f t="shared" si="33"/>
        <v>119.80759999999998</v>
      </c>
      <c r="V272">
        <f t="shared" si="34"/>
        <v>11632.944</v>
      </c>
      <c r="W272" s="58" t="str">
        <f t="shared" si="30"/>
        <v>10° Skew Variable Width Abutment Parallel Wings</v>
      </c>
    </row>
    <row r="273" spans="13:23" x14ac:dyDescent="0.25">
      <c r="M273" t="s">
        <v>136</v>
      </c>
      <c r="N273">
        <f t="shared" si="27"/>
        <v>12</v>
      </c>
      <c r="O273" t="str">
        <f t="shared" si="31"/>
        <v>10_00_12</v>
      </c>
      <c r="P273">
        <v>89.49</v>
      </c>
      <c r="Q273">
        <f t="shared" si="28"/>
        <v>1.49</v>
      </c>
      <c r="R273">
        <v>8700</v>
      </c>
      <c r="S273">
        <f t="shared" si="29"/>
        <v>120.4</v>
      </c>
      <c r="T273">
        <f t="shared" si="32"/>
        <v>1.0149999999999999</v>
      </c>
      <c r="U273">
        <f t="shared" si="33"/>
        <v>125.78639999999999</v>
      </c>
      <c r="V273">
        <f t="shared" si="34"/>
        <v>11632.944</v>
      </c>
      <c r="W273" s="58" t="str">
        <f t="shared" si="30"/>
        <v>10° Skew Variable Width Abutment Parallel Wings</v>
      </c>
    </row>
    <row r="274" spans="13:23" x14ac:dyDescent="0.25">
      <c r="M274" t="s">
        <v>136</v>
      </c>
      <c r="N274">
        <f t="shared" si="27"/>
        <v>13</v>
      </c>
      <c r="O274" t="str">
        <f t="shared" si="31"/>
        <v>10_00_13</v>
      </c>
      <c r="P274">
        <v>111.88</v>
      </c>
      <c r="Q274">
        <f t="shared" si="28"/>
        <v>1.64</v>
      </c>
      <c r="R274">
        <v>12859</v>
      </c>
      <c r="S274">
        <f t="shared" si="29"/>
        <v>161</v>
      </c>
      <c r="T274">
        <f t="shared" si="32"/>
        <v>1.0149999999999999</v>
      </c>
      <c r="U274">
        <f t="shared" si="33"/>
        <v>151.8304</v>
      </c>
      <c r="V274">
        <f t="shared" si="34"/>
        <v>16780.96</v>
      </c>
      <c r="W274" s="58" t="str">
        <f t="shared" si="30"/>
        <v>10° Skew Variable Width Abutment Parallel Wings</v>
      </c>
    </row>
    <row r="275" spans="13:23" x14ac:dyDescent="0.25">
      <c r="M275" t="s">
        <v>136</v>
      </c>
      <c r="N275">
        <f t="shared" si="27"/>
        <v>14</v>
      </c>
      <c r="O275" t="str">
        <f t="shared" si="31"/>
        <v>10_00_14</v>
      </c>
      <c r="P275">
        <v>116.49</v>
      </c>
      <c r="Q275">
        <f t="shared" si="28"/>
        <v>1.71</v>
      </c>
      <c r="R275">
        <v>12859</v>
      </c>
      <c r="S275">
        <f t="shared" si="29"/>
        <v>161</v>
      </c>
      <c r="T275">
        <f t="shared" si="32"/>
        <v>1.0149999999999999</v>
      </c>
      <c r="U275">
        <f t="shared" si="33"/>
        <v>158.1456</v>
      </c>
      <c r="V275">
        <f t="shared" si="34"/>
        <v>16780.96</v>
      </c>
      <c r="W275" s="58" t="str">
        <f t="shared" si="30"/>
        <v>10° Skew Variable Width Abutment Parallel Wings</v>
      </c>
    </row>
    <row r="276" spans="13:23" x14ac:dyDescent="0.25">
      <c r="M276" t="s">
        <v>136</v>
      </c>
      <c r="N276">
        <f t="shared" si="27"/>
        <v>15</v>
      </c>
      <c r="O276" t="str">
        <f t="shared" si="31"/>
        <v>10_00_15</v>
      </c>
      <c r="P276">
        <v>141.86000000000001</v>
      </c>
      <c r="Q276">
        <f t="shared" si="28"/>
        <v>1.86</v>
      </c>
      <c r="R276">
        <v>17469</v>
      </c>
      <c r="S276">
        <f t="shared" si="29"/>
        <v>198.6</v>
      </c>
      <c r="T276">
        <f t="shared" si="32"/>
        <v>1.0149999999999999</v>
      </c>
      <c r="U276">
        <f t="shared" si="33"/>
        <v>187.1696</v>
      </c>
      <c r="V276">
        <f t="shared" si="34"/>
        <v>22306.896000000001</v>
      </c>
      <c r="W276" s="58" t="str">
        <f t="shared" si="30"/>
        <v>10° Skew Variable Width Abutment Parallel Wings</v>
      </c>
    </row>
    <row r="277" spans="13:23" x14ac:dyDescent="0.25">
      <c r="M277" t="s">
        <v>136</v>
      </c>
      <c r="N277">
        <f t="shared" si="27"/>
        <v>16</v>
      </c>
      <c r="O277" t="str">
        <f t="shared" si="31"/>
        <v>10_00_16</v>
      </c>
      <c r="P277">
        <v>147.06</v>
      </c>
      <c r="Q277">
        <f t="shared" si="28"/>
        <v>1.93</v>
      </c>
      <c r="R277">
        <v>17459</v>
      </c>
      <c r="S277">
        <f t="shared" si="29"/>
        <v>198.6</v>
      </c>
      <c r="T277">
        <f t="shared" si="32"/>
        <v>1.0149999999999999</v>
      </c>
      <c r="U277">
        <f t="shared" si="33"/>
        <v>194.07479999999998</v>
      </c>
      <c r="V277">
        <f t="shared" si="34"/>
        <v>22296.896000000001</v>
      </c>
      <c r="W277" s="58" t="str">
        <f t="shared" si="30"/>
        <v>10° Skew Variable Width Abutment Parallel Wings</v>
      </c>
    </row>
    <row r="278" spans="13:23" x14ac:dyDescent="0.25">
      <c r="M278" t="s">
        <v>137</v>
      </c>
      <c r="N278">
        <f t="shared" si="27"/>
        <v>5</v>
      </c>
      <c r="O278" t="str">
        <f t="shared" si="31"/>
        <v>15_00_5</v>
      </c>
      <c r="P278">
        <v>26.58</v>
      </c>
      <c r="Q278">
        <f t="shared" si="28"/>
        <v>0.71</v>
      </c>
      <c r="R278">
        <v>2501</v>
      </c>
      <c r="S278">
        <f t="shared" si="29"/>
        <v>52.8</v>
      </c>
      <c r="T278">
        <f t="shared" si="32"/>
        <v>1.0349999999999999</v>
      </c>
      <c r="U278">
        <f t="shared" si="33"/>
        <v>44.216399999999993</v>
      </c>
      <c r="V278">
        <f t="shared" si="34"/>
        <v>3812.5519999999997</v>
      </c>
      <c r="W278" s="58" t="str">
        <f t="shared" si="30"/>
        <v>15° Skew Variable Width Abutment Parallel Wings</v>
      </c>
    </row>
    <row r="279" spans="13:23" x14ac:dyDescent="0.25">
      <c r="M279" t="s">
        <v>137</v>
      </c>
      <c r="N279">
        <f t="shared" si="27"/>
        <v>6</v>
      </c>
      <c r="O279" t="str">
        <f t="shared" si="31"/>
        <v>15_00_6</v>
      </c>
      <c r="P279">
        <v>28.83</v>
      </c>
      <c r="Q279">
        <f t="shared" si="28"/>
        <v>0.78</v>
      </c>
      <c r="R279">
        <v>2501</v>
      </c>
      <c r="S279">
        <f t="shared" si="29"/>
        <v>52.8</v>
      </c>
      <c r="T279">
        <f t="shared" si="32"/>
        <v>1.0349999999999999</v>
      </c>
      <c r="U279">
        <f t="shared" si="33"/>
        <v>48.205199999999991</v>
      </c>
      <c r="V279">
        <f t="shared" si="34"/>
        <v>3812.5519999999997</v>
      </c>
      <c r="W279" s="58" t="str">
        <f t="shared" si="30"/>
        <v>15° Skew Variable Width Abutment Parallel Wings</v>
      </c>
    </row>
    <row r="280" spans="13:23" x14ac:dyDescent="0.25">
      <c r="M280" t="s">
        <v>137</v>
      </c>
      <c r="N280">
        <f t="shared" si="27"/>
        <v>7</v>
      </c>
      <c r="O280" t="str">
        <f t="shared" si="31"/>
        <v>15_00_7</v>
      </c>
      <c r="P280">
        <v>39.9</v>
      </c>
      <c r="Q280">
        <f t="shared" si="28"/>
        <v>0.93</v>
      </c>
      <c r="R280">
        <v>3683</v>
      </c>
      <c r="S280">
        <f t="shared" si="29"/>
        <v>68.7</v>
      </c>
      <c r="T280">
        <f t="shared" si="32"/>
        <v>1.0349999999999999</v>
      </c>
      <c r="U280">
        <f t="shared" si="33"/>
        <v>63.001199999999997</v>
      </c>
      <c r="V280">
        <f t="shared" si="34"/>
        <v>5389.5079999999998</v>
      </c>
      <c r="W280" s="58" t="str">
        <f t="shared" si="30"/>
        <v>15° Skew Variable Width Abutment Parallel Wings</v>
      </c>
    </row>
    <row r="281" spans="13:23" x14ac:dyDescent="0.25">
      <c r="M281" t="s">
        <v>137</v>
      </c>
      <c r="N281">
        <f t="shared" si="27"/>
        <v>8</v>
      </c>
      <c r="O281" t="str">
        <f t="shared" si="31"/>
        <v>15_00_8</v>
      </c>
      <c r="P281">
        <v>42.6</v>
      </c>
      <c r="Q281">
        <f t="shared" si="28"/>
        <v>1.01</v>
      </c>
      <c r="R281">
        <v>3683</v>
      </c>
      <c r="S281">
        <f t="shared" si="29"/>
        <v>68.7</v>
      </c>
      <c r="T281">
        <f t="shared" si="32"/>
        <v>1.0349999999999999</v>
      </c>
      <c r="U281">
        <f t="shared" si="33"/>
        <v>67.688400000000001</v>
      </c>
      <c r="V281">
        <f t="shared" si="34"/>
        <v>5389.5079999999998</v>
      </c>
      <c r="W281" s="58" t="str">
        <f t="shared" si="30"/>
        <v>15° Skew Variable Width Abutment Parallel Wings</v>
      </c>
    </row>
    <row r="282" spans="13:23" x14ac:dyDescent="0.25">
      <c r="M282" t="s">
        <v>137</v>
      </c>
      <c r="N282">
        <f t="shared" si="27"/>
        <v>9</v>
      </c>
      <c r="O282" t="str">
        <f t="shared" si="31"/>
        <v>15_00_9</v>
      </c>
      <c r="P282">
        <v>62.86</v>
      </c>
      <c r="Q282">
        <f t="shared" si="28"/>
        <v>1.19</v>
      </c>
      <c r="R282">
        <v>5875</v>
      </c>
      <c r="S282">
        <f t="shared" si="29"/>
        <v>91</v>
      </c>
      <c r="T282">
        <f t="shared" si="32"/>
        <v>1.0349999999999999</v>
      </c>
      <c r="U282">
        <f t="shared" si="33"/>
        <v>92.419600000000003</v>
      </c>
      <c r="V282">
        <f t="shared" si="34"/>
        <v>8135.44</v>
      </c>
      <c r="W282" s="58" t="str">
        <f t="shared" si="30"/>
        <v>15° Skew Variable Width Abutment Parallel Wings</v>
      </c>
    </row>
    <row r="283" spans="13:23" x14ac:dyDescent="0.25">
      <c r="M283" t="s">
        <v>137</v>
      </c>
      <c r="N283">
        <f t="shared" si="27"/>
        <v>10</v>
      </c>
      <c r="O283" t="str">
        <f t="shared" si="31"/>
        <v>15_00_10</v>
      </c>
      <c r="P283">
        <v>66.3</v>
      </c>
      <c r="Q283">
        <f t="shared" si="28"/>
        <v>1.27</v>
      </c>
      <c r="R283">
        <v>5875</v>
      </c>
      <c r="S283">
        <f t="shared" si="29"/>
        <v>91</v>
      </c>
      <c r="T283">
        <f t="shared" si="32"/>
        <v>1.0349999999999999</v>
      </c>
      <c r="U283">
        <f t="shared" si="33"/>
        <v>97.846800000000002</v>
      </c>
      <c r="V283">
        <f t="shared" si="34"/>
        <v>8135.44</v>
      </c>
      <c r="W283" s="58" t="str">
        <f t="shared" si="30"/>
        <v>15° Skew Variable Width Abutment Parallel Wings</v>
      </c>
    </row>
    <row r="284" spans="13:23" x14ac:dyDescent="0.25">
      <c r="M284" t="s">
        <v>137</v>
      </c>
      <c r="N284">
        <f t="shared" si="27"/>
        <v>11</v>
      </c>
      <c r="O284" t="str">
        <f t="shared" si="31"/>
        <v>15_00_11</v>
      </c>
      <c r="P284">
        <v>85.77</v>
      </c>
      <c r="Q284">
        <f t="shared" si="28"/>
        <v>1.41</v>
      </c>
      <c r="R284">
        <v>8757</v>
      </c>
      <c r="S284">
        <f t="shared" si="29"/>
        <v>120.4</v>
      </c>
      <c r="T284">
        <f t="shared" si="32"/>
        <v>1.0349999999999999</v>
      </c>
      <c r="U284">
        <f t="shared" si="33"/>
        <v>120.7944</v>
      </c>
      <c r="V284">
        <f t="shared" si="34"/>
        <v>11747.736000000001</v>
      </c>
      <c r="W284" s="58" t="str">
        <f t="shared" si="30"/>
        <v>15° Skew Variable Width Abutment Parallel Wings</v>
      </c>
    </row>
    <row r="285" spans="13:23" x14ac:dyDescent="0.25">
      <c r="M285" t="s">
        <v>137</v>
      </c>
      <c r="N285">
        <f t="shared" si="27"/>
        <v>12</v>
      </c>
      <c r="O285" t="str">
        <f t="shared" si="31"/>
        <v>15_00_12</v>
      </c>
      <c r="P285">
        <v>89.81</v>
      </c>
      <c r="Q285">
        <f t="shared" si="28"/>
        <v>1.49</v>
      </c>
      <c r="R285">
        <v>8757</v>
      </c>
      <c r="S285">
        <f t="shared" si="29"/>
        <v>120.4</v>
      </c>
      <c r="T285">
        <f t="shared" si="32"/>
        <v>1.0349999999999999</v>
      </c>
      <c r="U285">
        <f t="shared" si="33"/>
        <v>126.82159999999999</v>
      </c>
      <c r="V285">
        <f t="shared" si="34"/>
        <v>11747.736000000001</v>
      </c>
      <c r="W285" s="58" t="str">
        <f t="shared" si="30"/>
        <v>15° Skew Variable Width Abutment Parallel Wings</v>
      </c>
    </row>
    <row r="286" spans="13:23" x14ac:dyDescent="0.25">
      <c r="M286" t="s">
        <v>137</v>
      </c>
      <c r="N286">
        <f t="shared" si="27"/>
        <v>13</v>
      </c>
      <c r="O286" t="str">
        <f t="shared" si="31"/>
        <v>15_00_13</v>
      </c>
      <c r="P286">
        <v>112.24</v>
      </c>
      <c r="Q286">
        <f t="shared" si="28"/>
        <v>1.64</v>
      </c>
      <c r="R286">
        <v>12937</v>
      </c>
      <c r="S286">
        <f t="shared" si="29"/>
        <v>161</v>
      </c>
      <c r="T286">
        <f t="shared" si="32"/>
        <v>1.0349999999999999</v>
      </c>
      <c r="U286">
        <f t="shared" si="33"/>
        <v>152.9776</v>
      </c>
      <c r="V286">
        <f t="shared" si="34"/>
        <v>16936.239999999998</v>
      </c>
      <c r="W286" s="58" t="str">
        <f t="shared" si="30"/>
        <v>15° Skew Variable Width Abutment Parallel Wings</v>
      </c>
    </row>
    <row r="287" spans="13:23" x14ac:dyDescent="0.25">
      <c r="M287" t="s">
        <v>137</v>
      </c>
      <c r="N287">
        <f t="shared" si="27"/>
        <v>14</v>
      </c>
      <c r="O287" t="str">
        <f t="shared" si="31"/>
        <v>15_00_14</v>
      </c>
      <c r="P287">
        <v>116.87</v>
      </c>
      <c r="Q287">
        <f t="shared" si="28"/>
        <v>1.71</v>
      </c>
      <c r="R287">
        <v>12937</v>
      </c>
      <c r="S287">
        <f t="shared" si="29"/>
        <v>161</v>
      </c>
      <c r="T287">
        <f t="shared" si="32"/>
        <v>1.0349999999999999</v>
      </c>
      <c r="U287">
        <f t="shared" si="33"/>
        <v>159.34640000000002</v>
      </c>
      <c r="V287">
        <f t="shared" si="34"/>
        <v>16936.239999999998</v>
      </c>
      <c r="W287" s="58" t="str">
        <f t="shared" si="30"/>
        <v>15° Skew Variable Width Abutment Parallel Wings</v>
      </c>
    </row>
    <row r="288" spans="13:23" x14ac:dyDescent="0.25">
      <c r="M288" t="s">
        <v>137</v>
      </c>
      <c r="N288">
        <f t="shared" si="27"/>
        <v>15</v>
      </c>
      <c r="O288" t="str">
        <f t="shared" si="31"/>
        <v>15_00_15</v>
      </c>
      <c r="P288">
        <v>142.27000000000001</v>
      </c>
      <c r="Q288">
        <f t="shared" si="28"/>
        <v>1.86</v>
      </c>
      <c r="R288">
        <v>17564</v>
      </c>
      <c r="S288">
        <f t="shared" si="29"/>
        <v>198.6</v>
      </c>
      <c r="T288">
        <f t="shared" si="32"/>
        <v>1.0349999999999999</v>
      </c>
      <c r="U288">
        <f t="shared" si="33"/>
        <v>188.47239999999999</v>
      </c>
      <c r="V288">
        <f t="shared" si="34"/>
        <v>22497.223999999998</v>
      </c>
      <c r="W288" s="58" t="str">
        <f t="shared" si="30"/>
        <v>15° Skew Variable Width Abutment Parallel Wings</v>
      </c>
    </row>
    <row r="289" spans="13:23" x14ac:dyDescent="0.25">
      <c r="M289" t="s">
        <v>137</v>
      </c>
      <c r="N289">
        <f t="shared" si="27"/>
        <v>16</v>
      </c>
      <c r="O289" t="str">
        <f t="shared" si="31"/>
        <v>15_00_16</v>
      </c>
      <c r="P289">
        <v>147.47999999999999</v>
      </c>
      <c r="Q289">
        <f t="shared" si="28"/>
        <v>1.93</v>
      </c>
      <c r="R289">
        <v>17564</v>
      </c>
      <c r="S289">
        <f t="shared" si="29"/>
        <v>198.6</v>
      </c>
      <c r="T289">
        <f t="shared" si="32"/>
        <v>1.0349999999999999</v>
      </c>
      <c r="U289">
        <f t="shared" si="33"/>
        <v>195.4212</v>
      </c>
      <c r="V289">
        <f t="shared" si="34"/>
        <v>22497.223999999998</v>
      </c>
      <c r="W289" s="58" t="str">
        <f t="shared" si="30"/>
        <v>15° Skew Variable Width Abutment Parallel Wings</v>
      </c>
    </row>
    <row r="290" spans="13:23" x14ac:dyDescent="0.25">
      <c r="M290" t="s">
        <v>138</v>
      </c>
      <c r="N290">
        <f t="shared" si="27"/>
        <v>5</v>
      </c>
      <c r="O290" t="str">
        <f t="shared" si="31"/>
        <v>20_00_5</v>
      </c>
      <c r="P290">
        <v>26.83</v>
      </c>
      <c r="Q290">
        <f t="shared" si="28"/>
        <v>0.71</v>
      </c>
      <c r="R290">
        <v>2525</v>
      </c>
      <c r="S290">
        <f t="shared" si="29"/>
        <v>52.8</v>
      </c>
      <c r="T290">
        <f t="shared" si="32"/>
        <v>1.0640000000000001</v>
      </c>
      <c r="U290">
        <f t="shared" si="33"/>
        <v>44.960560000000001</v>
      </c>
      <c r="V290">
        <f t="shared" si="34"/>
        <v>3873.3008</v>
      </c>
      <c r="W290" s="58" t="str">
        <f t="shared" si="30"/>
        <v>20° Skew Variable Width Abutment Parallel Wings</v>
      </c>
    </row>
    <row r="291" spans="13:23" x14ac:dyDescent="0.25">
      <c r="M291" t="s">
        <v>138</v>
      </c>
      <c r="N291">
        <f t="shared" si="27"/>
        <v>6</v>
      </c>
      <c r="O291" t="str">
        <f t="shared" si="31"/>
        <v>20_00_6</v>
      </c>
      <c r="P291">
        <v>29.11</v>
      </c>
      <c r="Q291">
        <f t="shared" si="28"/>
        <v>0.78</v>
      </c>
      <c r="R291">
        <v>2525</v>
      </c>
      <c r="S291">
        <f t="shared" si="29"/>
        <v>52.8</v>
      </c>
      <c r="T291">
        <f t="shared" si="32"/>
        <v>1.0640000000000001</v>
      </c>
      <c r="U291">
        <f t="shared" si="33"/>
        <v>49.028080000000003</v>
      </c>
      <c r="V291">
        <f t="shared" si="34"/>
        <v>3873.3008</v>
      </c>
      <c r="W291" s="58" t="str">
        <f t="shared" si="30"/>
        <v>20° Skew Variable Width Abutment Parallel Wings</v>
      </c>
    </row>
    <row r="292" spans="13:23" x14ac:dyDescent="0.25">
      <c r="M292" t="s">
        <v>138</v>
      </c>
      <c r="N292">
        <f t="shared" si="27"/>
        <v>7</v>
      </c>
      <c r="O292" t="str">
        <f t="shared" si="31"/>
        <v>20_00_7</v>
      </c>
      <c r="P292">
        <v>42.4</v>
      </c>
      <c r="Q292">
        <f t="shared" si="28"/>
        <v>0.93</v>
      </c>
      <c r="R292">
        <v>3877</v>
      </c>
      <c r="S292">
        <f t="shared" si="29"/>
        <v>68.7</v>
      </c>
      <c r="T292">
        <f t="shared" si="32"/>
        <v>1.0640000000000001</v>
      </c>
      <c r="U292">
        <f t="shared" si="33"/>
        <v>66.148480000000006</v>
      </c>
      <c r="V292">
        <f t="shared" si="34"/>
        <v>5631.3232000000007</v>
      </c>
      <c r="W292" s="58" t="str">
        <f t="shared" si="30"/>
        <v>20° Skew Variable Width Abutment Parallel Wings</v>
      </c>
    </row>
    <row r="293" spans="13:23" x14ac:dyDescent="0.25">
      <c r="M293" t="s">
        <v>138</v>
      </c>
      <c r="N293">
        <f t="shared" si="27"/>
        <v>8</v>
      </c>
      <c r="O293" t="str">
        <f t="shared" si="31"/>
        <v>20_00_8</v>
      </c>
      <c r="P293">
        <v>45.27</v>
      </c>
      <c r="Q293">
        <f t="shared" si="28"/>
        <v>1.01</v>
      </c>
      <c r="R293">
        <v>3877</v>
      </c>
      <c r="S293">
        <f t="shared" si="29"/>
        <v>68.7</v>
      </c>
      <c r="T293">
        <f t="shared" si="32"/>
        <v>1.0640000000000001</v>
      </c>
      <c r="U293">
        <f t="shared" si="33"/>
        <v>71.061360000000008</v>
      </c>
      <c r="V293">
        <f t="shared" si="34"/>
        <v>5631.3232000000007</v>
      </c>
      <c r="W293" s="58" t="str">
        <f t="shared" si="30"/>
        <v>20° Skew Variable Width Abutment Parallel Wings</v>
      </c>
    </row>
    <row r="294" spans="13:23" x14ac:dyDescent="0.25">
      <c r="M294" t="s">
        <v>138</v>
      </c>
      <c r="N294">
        <f t="shared" si="27"/>
        <v>9</v>
      </c>
      <c r="O294" t="str">
        <f t="shared" si="31"/>
        <v>20_00_9</v>
      </c>
      <c r="P294">
        <v>63.29</v>
      </c>
      <c r="Q294">
        <f t="shared" si="28"/>
        <v>1.19</v>
      </c>
      <c r="R294">
        <v>5905</v>
      </c>
      <c r="S294">
        <f t="shared" si="29"/>
        <v>91</v>
      </c>
      <c r="T294">
        <f t="shared" si="32"/>
        <v>1.0640000000000001</v>
      </c>
      <c r="U294">
        <f t="shared" si="33"/>
        <v>93.677840000000003</v>
      </c>
      <c r="V294">
        <f t="shared" si="34"/>
        <v>8228.7759999999998</v>
      </c>
      <c r="W294" s="58" t="str">
        <f t="shared" si="30"/>
        <v>20° Skew Variable Width Abutment Parallel Wings</v>
      </c>
    </row>
    <row r="295" spans="13:23" x14ac:dyDescent="0.25">
      <c r="M295" t="s">
        <v>138</v>
      </c>
      <c r="N295">
        <f t="shared" si="27"/>
        <v>10</v>
      </c>
      <c r="O295" t="str">
        <f t="shared" si="31"/>
        <v>20_00_10</v>
      </c>
      <c r="P295">
        <v>66.72</v>
      </c>
      <c r="Q295">
        <f t="shared" si="28"/>
        <v>1.27</v>
      </c>
      <c r="R295">
        <v>5905</v>
      </c>
      <c r="S295">
        <f t="shared" si="29"/>
        <v>91</v>
      </c>
      <c r="T295">
        <f t="shared" si="32"/>
        <v>1.0640000000000001</v>
      </c>
      <c r="U295">
        <f t="shared" si="33"/>
        <v>99.150720000000007</v>
      </c>
      <c r="V295">
        <f t="shared" si="34"/>
        <v>8228.7759999999998</v>
      </c>
      <c r="W295" s="58" t="str">
        <f t="shared" si="30"/>
        <v>20° Skew Variable Width Abutment Parallel Wings</v>
      </c>
    </row>
    <row r="296" spans="13:23" x14ac:dyDescent="0.25">
      <c r="M296" t="s">
        <v>138</v>
      </c>
      <c r="N296">
        <f t="shared" si="27"/>
        <v>11</v>
      </c>
      <c r="O296" t="str">
        <f t="shared" si="31"/>
        <v>20_00_11</v>
      </c>
      <c r="P296">
        <v>89.38</v>
      </c>
      <c r="Q296">
        <f t="shared" si="28"/>
        <v>1.41</v>
      </c>
      <c r="R296">
        <v>9102</v>
      </c>
      <c r="S296">
        <f t="shared" si="29"/>
        <v>120.4</v>
      </c>
      <c r="T296">
        <f t="shared" si="32"/>
        <v>1.0640000000000001</v>
      </c>
      <c r="U296">
        <f t="shared" si="33"/>
        <v>125.38575999999999</v>
      </c>
      <c r="V296">
        <f t="shared" si="34"/>
        <v>12176.5344</v>
      </c>
      <c r="W296" s="58" t="str">
        <f t="shared" si="30"/>
        <v>20° Skew Variable Width Abutment Parallel Wings</v>
      </c>
    </row>
    <row r="297" spans="13:23" x14ac:dyDescent="0.25">
      <c r="M297" t="s">
        <v>138</v>
      </c>
      <c r="N297">
        <f t="shared" si="27"/>
        <v>12</v>
      </c>
      <c r="O297" t="str">
        <f t="shared" si="31"/>
        <v>20_00_12</v>
      </c>
      <c r="P297">
        <v>93.59</v>
      </c>
      <c r="Q297">
        <f t="shared" si="28"/>
        <v>1.49</v>
      </c>
      <c r="R297">
        <v>9102</v>
      </c>
      <c r="S297">
        <f t="shared" si="29"/>
        <v>120.4</v>
      </c>
      <c r="T297">
        <f t="shared" si="32"/>
        <v>1.0640000000000001</v>
      </c>
      <c r="U297">
        <f t="shared" si="33"/>
        <v>131.63864000000001</v>
      </c>
      <c r="V297">
        <f t="shared" si="34"/>
        <v>12176.5344</v>
      </c>
      <c r="W297" s="58" t="str">
        <f t="shared" si="30"/>
        <v>20° Skew Variable Width Abutment Parallel Wings</v>
      </c>
    </row>
    <row r="298" spans="13:23" x14ac:dyDescent="0.25">
      <c r="M298" t="s">
        <v>138</v>
      </c>
      <c r="N298">
        <f t="shared" si="27"/>
        <v>13</v>
      </c>
      <c r="O298" t="str">
        <f t="shared" si="31"/>
        <v>20_00_13</v>
      </c>
      <c r="P298">
        <v>116.36</v>
      </c>
      <c r="Q298">
        <f t="shared" si="28"/>
        <v>1.64</v>
      </c>
      <c r="R298">
        <v>13384</v>
      </c>
      <c r="S298">
        <f t="shared" si="29"/>
        <v>161</v>
      </c>
      <c r="T298">
        <f t="shared" si="32"/>
        <v>1.0640000000000001</v>
      </c>
      <c r="U298">
        <f t="shared" si="33"/>
        <v>158.23903999999999</v>
      </c>
      <c r="V298">
        <f t="shared" si="34"/>
        <v>17495.296000000002</v>
      </c>
      <c r="W298" s="58" t="str">
        <f t="shared" si="30"/>
        <v>20° Skew Variable Width Abutment Parallel Wings</v>
      </c>
    </row>
    <row r="299" spans="13:23" x14ac:dyDescent="0.25">
      <c r="M299" t="s">
        <v>138</v>
      </c>
      <c r="N299">
        <f t="shared" si="27"/>
        <v>14</v>
      </c>
      <c r="O299" t="str">
        <f t="shared" si="31"/>
        <v>20_00_14</v>
      </c>
      <c r="P299">
        <v>121.16</v>
      </c>
      <c r="Q299">
        <f t="shared" si="28"/>
        <v>1.71</v>
      </c>
      <c r="R299">
        <v>13384</v>
      </c>
      <c r="S299">
        <f t="shared" si="29"/>
        <v>161</v>
      </c>
      <c r="T299">
        <f t="shared" si="32"/>
        <v>1.0640000000000001</v>
      </c>
      <c r="U299">
        <f t="shared" si="33"/>
        <v>164.82656</v>
      </c>
      <c r="V299">
        <f t="shared" si="34"/>
        <v>17495.296000000002</v>
      </c>
      <c r="W299" s="58" t="str">
        <f t="shared" si="30"/>
        <v>20° Skew Variable Width Abutment Parallel Wings</v>
      </c>
    </row>
    <row r="300" spans="13:23" x14ac:dyDescent="0.25">
      <c r="M300" t="s">
        <v>138</v>
      </c>
      <c r="N300">
        <f t="shared" si="27"/>
        <v>15</v>
      </c>
      <c r="O300" t="str">
        <f t="shared" si="31"/>
        <v>20_00_15</v>
      </c>
      <c r="P300">
        <v>146.88999999999999</v>
      </c>
      <c r="Q300">
        <f t="shared" si="28"/>
        <v>1.86</v>
      </c>
      <c r="R300">
        <v>18106</v>
      </c>
      <c r="S300">
        <f t="shared" si="29"/>
        <v>198.6</v>
      </c>
      <c r="T300">
        <f t="shared" si="32"/>
        <v>1.0640000000000001</v>
      </c>
      <c r="U300">
        <f t="shared" si="33"/>
        <v>194.38695999999999</v>
      </c>
      <c r="V300">
        <f t="shared" si="34"/>
        <v>23177.4496</v>
      </c>
      <c r="W300" s="58" t="str">
        <f t="shared" si="30"/>
        <v>20° Skew Variable Width Abutment Parallel Wings</v>
      </c>
    </row>
    <row r="301" spans="13:23" x14ac:dyDescent="0.25">
      <c r="M301" t="s">
        <v>138</v>
      </c>
      <c r="N301">
        <f t="shared" si="27"/>
        <v>16</v>
      </c>
      <c r="O301" t="str">
        <f t="shared" si="31"/>
        <v>20_00_16</v>
      </c>
      <c r="P301">
        <v>152.28</v>
      </c>
      <c r="Q301">
        <f t="shared" si="28"/>
        <v>1.93</v>
      </c>
      <c r="R301">
        <v>18106</v>
      </c>
      <c r="S301">
        <f t="shared" si="29"/>
        <v>198.6</v>
      </c>
      <c r="T301">
        <f t="shared" si="32"/>
        <v>1.0640000000000001</v>
      </c>
      <c r="U301">
        <f t="shared" si="33"/>
        <v>201.56448</v>
      </c>
      <c r="V301">
        <f t="shared" si="34"/>
        <v>23177.4496</v>
      </c>
      <c r="W301" s="58" t="str">
        <f t="shared" si="30"/>
        <v>20° Skew Variable Width Abutment Parallel Wings</v>
      </c>
    </row>
    <row r="302" spans="13:23" x14ac:dyDescent="0.25">
      <c r="M302" t="s">
        <v>139</v>
      </c>
      <c r="N302">
        <f t="shared" si="27"/>
        <v>5</v>
      </c>
      <c r="O302" t="str">
        <f t="shared" si="31"/>
        <v>25_00_5</v>
      </c>
      <c r="P302">
        <v>28.92</v>
      </c>
      <c r="Q302">
        <f t="shared" si="28"/>
        <v>0.71</v>
      </c>
      <c r="R302">
        <v>2717</v>
      </c>
      <c r="S302">
        <f t="shared" si="29"/>
        <v>52.8</v>
      </c>
      <c r="T302">
        <f t="shared" si="32"/>
        <v>1.103</v>
      </c>
      <c r="U302">
        <f t="shared" si="33"/>
        <v>47.715119999999999</v>
      </c>
      <c r="V302">
        <f t="shared" si="34"/>
        <v>4114.7215999999999</v>
      </c>
      <c r="W302" s="58" t="str">
        <f t="shared" si="30"/>
        <v>25° Skew Variable Width Abutment Parallel Wings</v>
      </c>
    </row>
    <row r="303" spans="13:23" x14ac:dyDescent="0.25">
      <c r="M303" t="s">
        <v>139</v>
      </c>
      <c r="N303">
        <f t="shared" si="27"/>
        <v>6</v>
      </c>
      <c r="O303" t="str">
        <f t="shared" si="31"/>
        <v>25_00_6</v>
      </c>
      <c r="P303">
        <v>31.37</v>
      </c>
      <c r="Q303">
        <f t="shared" si="28"/>
        <v>0.78</v>
      </c>
      <c r="R303">
        <v>2717</v>
      </c>
      <c r="S303">
        <f t="shared" si="29"/>
        <v>52.8</v>
      </c>
      <c r="T303">
        <f t="shared" si="32"/>
        <v>1.103</v>
      </c>
      <c r="U303">
        <f t="shared" si="33"/>
        <v>52.018159999999995</v>
      </c>
      <c r="V303">
        <f t="shared" si="34"/>
        <v>4114.7215999999999</v>
      </c>
      <c r="W303" s="58" t="str">
        <f t="shared" si="30"/>
        <v>25° Skew Variable Width Abutment Parallel Wings</v>
      </c>
    </row>
    <row r="304" spans="13:23" x14ac:dyDescent="0.25">
      <c r="M304" t="s">
        <v>139</v>
      </c>
      <c r="N304">
        <f t="shared" si="27"/>
        <v>7</v>
      </c>
      <c r="O304" t="str">
        <f t="shared" si="31"/>
        <v>25_00_7</v>
      </c>
      <c r="P304">
        <v>45.02</v>
      </c>
      <c r="Q304">
        <f t="shared" si="28"/>
        <v>0.93</v>
      </c>
      <c r="R304">
        <v>4118</v>
      </c>
      <c r="S304">
        <f t="shared" si="29"/>
        <v>68.7</v>
      </c>
      <c r="T304">
        <f t="shared" si="32"/>
        <v>1.103</v>
      </c>
      <c r="U304">
        <f t="shared" si="33"/>
        <v>69.638959999999997</v>
      </c>
      <c r="V304">
        <f t="shared" si="34"/>
        <v>5936.6264000000001</v>
      </c>
      <c r="W304" s="58" t="str">
        <f t="shared" si="30"/>
        <v>25° Skew Variable Width Abutment Parallel Wings</v>
      </c>
    </row>
    <row r="305" spans="13:23" x14ac:dyDescent="0.25">
      <c r="M305" t="s">
        <v>139</v>
      </c>
      <c r="N305">
        <f t="shared" si="27"/>
        <v>8</v>
      </c>
      <c r="O305" t="str">
        <f t="shared" si="31"/>
        <v>25_00_8</v>
      </c>
      <c r="P305">
        <v>48.07</v>
      </c>
      <c r="Q305">
        <f t="shared" si="28"/>
        <v>1.01</v>
      </c>
      <c r="R305">
        <v>4118</v>
      </c>
      <c r="S305">
        <f t="shared" si="29"/>
        <v>68.7</v>
      </c>
      <c r="T305">
        <f t="shared" si="32"/>
        <v>1.103</v>
      </c>
      <c r="U305">
        <f t="shared" si="33"/>
        <v>74.806719999999999</v>
      </c>
      <c r="V305">
        <f t="shared" si="34"/>
        <v>5936.6264000000001</v>
      </c>
      <c r="W305" s="58" t="str">
        <f t="shared" si="30"/>
        <v>25° Skew Variable Width Abutment Parallel Wings</v>
      </c>
    </row>
    <row r="306" spans="13:23" x14ac:dyDescent="0.25">
      <c r="M306" t="s">
        <v>139</v>
      </c>
      <c r="N306">
        <f t="shared" si="27"/>
        <v>9</v>
      </c>
      <c r="O306" t="str">
        <f t="shared" si="31"/>
        <v>25_00_9</v>
      </c>
      <c r="P306">
        <v>66.5</v>
      </c>
      <c r="Q306">
        <f t="shared" si="28"/>
        <v>1.19</v>
      </c>
      <c r="R306">
        <v>6216</v>
      </c>
      <c r="S306">
        <f t="shared" si="29"/>
        <v>91</v>
      </c>
      <c r="T306">
        <f t="shared" si="32"/>
        <v>1.103</v>
      </c>
      <c r="U306">
        <f t="shared" si="33"/>
        <v>98.001679999999993</v>
      </c>
      <c r="V306">
        <f t="shared" si="34"/>
        <v>8624.9519999999993</v>
      </c>
      <c r="W306" s="58" t="str">
        <f t="shared" si="30"/>
        <v>25° Skew Variable Width Abutment Parallel Wings</v>
      </c>
    </row>
    <row r="307" spans="13:23" x14ac:dyDescent="0.25">
      <c r="M307" t="s">
        <v>139</v>
      </c>
      <c r="N307">
        <f t="shared" ref="N307:N361" si="35">N295</f>
        <v>10</v>
      </c>
      <c r="O307" t="str">
        <f t="shared" si="31"/>
        <v>25_00_10</v>
      </c>
      <c r="P307">
        <v>70.14</v>
      </c>
      <c r="Q307">
        <f t="shared" ref="Q307:Q361" si="36">Q295</f>
        <v>1.27</v>
      </c>
      <c r="R307">
        <v>6216</v>
      </c>
      <c r="S307">
        <f t="shared" ref="S307:S361" si="37">S295</f>
        <v>91</v>
      </c>
      <c r="T307">
        <f t="shared" si="32"/>
        <v>1.103</v>
      </c>
      <c r="U307">
        <f t="shared" si="33"/>
        <v>103.75944</v>
      </c>
      <c r="V307">
        <f t="shared" si="34"/>
        <v>8624.9519999999993</v>
      </c>
      <c r="W307" s="58" t="str">
        <f t="shared" ref="W307:W361" si="38">CONCATENATE(LEFT(M307,2)*1,"° Skew Variable Width Abutment ","Parallel Wings")</f>
        <v>25° Skew Variable Width Abutment Parallel Wings</v>
      </c>
    </row>
    <row r="308" spans="13:23" x14ac:dyDescent="0.25">
      <c r="M308" t="s">
        <v>139</v>
      </c>
      <c r="N308">
        <f t="shared" si="35"/>
        <v>11</v>
      </c>
      <c r="O308" t="str">
        <f t="shared" si="31"/>
        <v>25_00_11</v>
      </c>
      <c r="P308">
        <v>93.16</v>
      </c>
      <c r="Q308">
        <f t="shared" si="36"/>
        <v>1.41</v>
      </c>
      <c r="R308">
        <v>9465</v>
      </c>
      <c r="S308">
        <f t="shared" si="37"/>
        <v>120.4</v>
      </c>
      <c r="T308">
        <f t="shared" si="32"/>
        <v>1.103</v>
      </c>
      <c r="U308">
        <f t="shared" si="33"/>
        <v>130.48552000000001</v>
      </c>
      <c r="V308">
        <f t="shared" si="34"/>
        <v>12652.228800000001</v>
      </c>
      <c r="W308" s="58" t="str">
        <f t="shared" si="38"/>
        <v>25° Skew Variable Width Abutment Parallel Wings</v>
      </c>
    </row>
    <row r="309" spans="13:23" x14ac:dyDescent="0.25">
      <c r="M309" t="s">
        <v>139</v>
      </c>
      <c r="N309">
        <f t="shared" si="35"/>
        <v>12</v>
      </c>
      <c r="O309" t="str">
        <f t="shared" si="31"/>
        <v>25_00_12</v>
      </c>
      <c r="P309">
        <v>97.54</v>
      </c>
      <c r="Q309">
        <f t="shared" si="36"/>
        <v>1.49</v>
      </c>
      <c r="R309">
        <v>9465</v>
      </c>
      <c r="S309">
        <f t="shared" si="37"/>
        <v>120.4</v>
      </c>
      <c r="T309">
        <f t="shared" si="32"/>
        <v>1.103</v>
      </c>
      <c r="U309">
        <f t="shared" si="33"/>
        <v>136.98328000000001</v>
      </c>
      <c r="V309">
        <f t="shared" si="34"/>
        <v>12652.228800000001</v>
      </c>
      <c r="W309" s="58" t="str">
        <f t="shared" si="38"/>
        <v>25° Skew Variable Width Abutment Parallel Wings</v>
      </c>
    </row>
    <row r="310" spans="13:23" x14ac:dyDescent="0.25">
      <c r="M310" t="s">
        <v>139</v>
      </c>
      <c r="N310">
        <f t="shared" si="35"/>
        <v>13</v>
      </c>
      <c r="O310" t="str">
        <f t="shared" si="31"/>
        <v>25_00_13</v>
      </c>
      <c r="P310">
        <v>120.67</v>
      </c>
      <c r="Q310">
        <f t="shared" si="36"/>
        <v>1.64</v>
      </c>
      <c r="R310">
        <v>13914</v>
      </c>
      <c r="S310">
        <f t="shared" si="37"/>
        <v>161</v>
      </c>
      <c r="T310">
        <f t="shared" si="32"/>
        <v>1.103</v>
      </c>
      <c r="U310">
        <f t="shared" si="33"/>
        <v>164.08408</v>
      </c>
      <c r="V310">
        <f t="shared" si="34"/>
        <v>18175.991999999998</v>
      </c>
      <c r="W310" s="58" t="str">
        <f t="shared" si="38"/>
        <v>25° Skew Variable Width Abutment Parallel Wings</v>
      </c>
    </row>
    <row r="311" spans="13:23" x14ac:dyDescent="0.25">
      <c r="M311" t="s">
        <v>139</v>
      </c>
      <c r="N311">
        <f t="shared" si="35"/>
        <v>14</v>
      </c>
      <c r="O311" t="str">
        <f t="shared" si="31"/>
        <v>25_00_14</v>
      </c>
      <c r="P311">
        <v>125.64</v>
      </c>
      <c r="Q311">
        <f t="shared" si="36"/>
        <v>1.71</v>
      </c>
      <c r="R311">
        <v>13914</v>
      </c>
      <c r="S311">
        <f t="shared" si="37"/>
        <v>161</v>
      </c>
      <c r="T311">
        <f t="shared" si="32"/>
        <v>1.103</v>
      </c>
      <c r="U311">
        <f t="shared" si="33"/>
        <v>170.90711999999999</v>
      </c>
      <c r="V311">
        <f t="shared" si="34"/>
        <v>18175.991999999998</v>
      </c>
      <c r="W311" s="58" t="str">
        <f t="shared" si="38"/>
        <v>25° Skew Variable Width Abutment Parallel Wings</v>
      </c>
    </row>
    <row r="312" spans="13:23" x14ac:dyDescent="0.25">
      <c r="M312" t="s">
        <v>139</v>
      </c>
      <c r="N312">
        <f t="shared" si="35"/>
        <v>15</v>
      </c>
      <c r="O312" t="str">
        <f t="shared" si="31"/>
        <v>25_00_15</v>
      </c>
      <c r="P312">
        <v>151.72999999999999</v>
      </c>
      <c r="Q312">
        <f t="shared" si="36"/>
        <v>1.86</v>
      </c>
      <c r="R312">
        <v>18748</v>
      </c>
      <c r="S312">
        <f t="shared" si="37"/>
        <v>198.6</v>
      </c>
      <c r="T312">
        <f t="shared" si="32"/>
        <v>1.103</v>
      </c>
      <c r="U312">
        <f t="shared" si="33"/>
        <v>200.96791999999999</v>
      </c>
      <c r="V312">
        <f t="shared" si="34"/>
        <v>24005.339199999999</v>
      </c>
      <c r="W312" s="58" t="str">
        <f t="shared" si="38"/>
        <v>25° Skew Variable Width Abutment Parallel Wings</v>
      </c>
    </row>
    <row r="313" spans="13:23" x14ac:dyDescent="0.25">
      <c r="M313" t="s">
        <v>139</v>
      </c>
      <c r="N313">
        <f t="shared" si="35"/>
        <v>16</v>
      </c>
      <c r="O313" t="str">
        <f t="shared" si="31"/>
        <v>25_00_16</v>
      </c>
      <c r="P313">
        <v>157.30000000000001</v>
      </c>
      <c r="Q313">
        <f t="shared" si="36"/>
        <v>1.93</v>
      </c>
      <c r="R313">
        <v>18748</v>
      </c>
      <c r="S313">
        <f t="shared" si="37"/>
        <v>198.6</v>
      </c>
      <c r="T313">
        <f t="shared" si="32"/>
        <v>1.103</v>
      </c>
      <c r="U313">
        <f t="shared" si="33"/>
        <v>208.39096000000001</v>
      </c>
      <c r="V313">
        <f t="shared" si="34"/>
        <v>24005.339199999999</v>
      </c>
      <c r="W313" s="58" t="str">
        <f t="shared" si="38"/>
        <v>25° Skew Variable Width Abutment Parallel Wings</v>
      </c>
    </row>
    <row r="314" spans="13:23" x14ac:dyDescent="0.25">
      <c r="M314" t="s">
        <v>140</v>
      </c>
      <c r="N314">
        <f t="shared" si="35"/>
        <v>5</v>
      </c>
      <c r="O314" t="str">
        <f t="shared" si="31"/>
        <v>30_00_5</v>
      </c>
      <c r="P314">
        <v>29.38</v>
      </c>
      <c r="Q314">
        <f t="shared" si="36"/>
        <v>0.71</v>
      </c>
      <c r="R314">
        <v>2774</v>
      </c>
      <c r="S314">
        <f t="shared" si="37"/>
        <v>52.8</v>
      </c>
      <c r="T314">
        <f t="shared" si="32"/>
        <v>1.155</v>
      </c>
      <c r="U314">
        <f t="shared" si="33"/>
        <v>49.061199999999999</v>
      </c>
      <c r="V314">
        <f t="shared" si="34"/>
        <v>4237.616</v>
      </c>
      <c r="W314" s="58" t="str">
        <f t="shared" si="38"/>
        <v>30° Skew Variable Width Abutment Parallel Wings</v>
      </c>
    </row>
    <row r="315" spans="13:23" x14ac:dyDescent="0.25">
      <c r="M315" t="s">
        <v>140</v>
      </c>
      <c r="N315">
        <f t="shared" si="35"/>
        <v>6</v>
      </c>
      <c r="O315" t="str">
        <f t="shared" si="31"/>
        <v>30_00_6</v>
      </c>
      <c r="P315">
        <v>31.87</v>
      </c>
      <c r="Q315">
        <f t="shared" si="36"/>
        <v>0.78</v>
      </c>
      <c r="R315">
        <v>2774</v>
      </c>
      <c r="S315">
        <f t="shared" si="37"/>
        <v>52.8</v>
      </c>
      <c r="T315">
        <f t="shared" si="32"/>
        <v>1.155</v>
      </c>
      <c r="U315">
        <f t="shared" si="33"/>
        <v>53.491600000000005</v>
      </c>
      <c r="V315">
        <f t="shared" si="34"/>
        <v>4237.616</v>
      </c>
      <c r="W315" s="58" t="str">
        <f t="shared" si="38"/>
        <v>30° Skew Variable Width Abutment Parallel Wings</v>
      </c>
    </row>
    <row r="316" spans="13:23" x14ac:dyDescent="0.25">
      <c r="M316" t="s">
        <v>140</v>
      </c>
      <c r="N316">
        <f t="shared" si="35"/>
        <v>7</v>
      </c>
      <c r="O316" t="str">
        <f t="shared" si="31"/>
        <v>30_00_7</v>
      </c>
      <c r="P316">
        <v>47.78</v>
      </c>
      <c r="Q316">
        <f t="shared" si="36"/>
        <v>0.93</v>
      </c>
      <c r="R316">
        <v>4359</v>
      </c>
      <c r="S316">
        <f t="shared" si="37"/>
        <v>68.7</v>
      </c>
      <c r="T316">
        <f t="shared" si="32"/>
        <v>1.155</v>
      </c>
      <c r="U316">
        <f t="shared" si="33"/>
        <v>73.559600000000003</v>
      </c>
      <c r="V316">
        <f t="shared" si="34"/>
        <v>6263.3640000000005</v>
      </c>
      <c r="W316" s="58" t="str">
        <f t="shared" si="38"/>
        <v>30° Skew Variable Width Abutment Parallel Wings</v>
      </c>
    </row>
    <row r="317" spans="13:23" x14ac:dyDescent="0.25">
      <c r="M317" t="s">
        <v>140</v>
      </c>
      <c r="N317">
        <f t="shared" si="35"/>
        <v>8</v>
      </c>
      <c r="O317" t="str">
        <f t="shared" si="31"/>
        <v>30_00_8</v>
      </c>
      <c r="P317">
        <v>51.01</v>
      </c>
      <c r="Q317">
        <f t="shared" si="36"/>
        <v>1.01</v>
      </c>
      <c r="R317">
        <v>4359</v>
      </c>
      <c r="S317">
        <f t="shared" si="37"/>
        <v>68.7</v>
      </c>
      <c r="T317">
        <f t="shared" si="32"/>
        <v>1.155</v>
      </c>
      <c r="U317">
        <f t="shared" si="33"/>
        <v>79.007199999999997</v>
      </c>
      <c r="V317">
        <f t="shared" si="34"/>
        <v>6263.3640000000005</v>
      </c>
      <c r="W317" s="58" t="str">
        <f t="shared" si="38"/>
        <v>30° Skew Variable Width Abutment Parallel Wings</v>
      </c>
    </row>
    <row r="318" spans="13:23" x14ac:dyDescent="0.25">
      <c r="M318" t="s">
        <v>140</v>
      </c>
      <c r="N318">
        <f t="shared" si="35"/>
        <v>9</v>
      </c>
      <c r="O318" t="str">
        <f t="shared" si="31"/>
        <v>30_00_9</v>
      </c>
      <c r="P318">
        <v>59.91</v>
      </c>
      <c r="Q318">
        <f t="shared" si="36"/>
        <v>1.19</v>
      </c>
      <c r="R318">
        <v>6526</v>
      </c>
      <c r="S318">
        <f t="shared" si="37"/>
        <v>91</v>
      </c>
      <c r="T318">
        <f t="shared" si="32"/>
        <v>1.155</v>
      </c>
      <c r="U318">
        <f t="shared" si="33"/>
        <v>92.896799999999999</v>
      </c>
      <c r="V318">
        <f t="shared" si="34"/>
        <v>9048.52</v>
      </c>
      <c r="W318" s="58" t="str">
        <f t="shared" si="38"/>
        <v>30° Skew Variable Width Abutment Parallel Wings</v>
      </c>
    </row>
    <row r="319" spans="13:23" x14ac:dyDescent="0.25">
      <c r="M319" t="s">
        <v>140</v>
      </c>
      <c r="N319">
        <f t="shared" si="35"/>
        <v>10</v>
      </c>
      <c r="O319" t="str">
        <f t="shared" si="31"/>
        <v>30_00_10</v>
      </c>
      <c r="P319">
        <v>73.73</v>
      </c>
      <c r="Q319">
        <f t="shared" si="36"/>
        <v>1.27</v>
      </c>
      <c r="R319">
        <v>6526</v>
      </c>
      <c r="S319">
        <f t="shared" si="37"/>
        <v>91</v>
      </c>
      <c r="T319">
        <f t="shared" si="32"/>
        <v>1.155</v>
      </c>
      <c r="U319">
        <f t="shared" si="33"/>
        <v>108.93440000000001</v>
      </c>
      <c r="V319">
        <f t="shared" si="34"/>
        <v>9048.52</v>
      </c>
      <c r="W319" s="58" t="str">
        <f t="shared" si="38"/>
        <v>30° Skew Variable Width Abutment Parallel Wings</v>
      </c>
    </row>
    <row r="320" spans="13:23" x14ac:dyDescent="0.25">
      <c r="M320" t="s">
        <v>140</v>
      </c>
      <c r="N320">
        <f t="shared" si="35"/>
        <v>11</v>
      </c>
      <c r="O320" t="str">
        <f t="shared" si="31"/>
        <v>30_00_11</v>
      </c>
      <c r="P320">
        <v>97.12</v>
      </c>
      <c r="Q320">
        <f t="shared" si="36"/>
        <v>1.41</v>
      </c>
      <c r="R320">
        <v>9903</v>
      </c>
      <c r="S320">
        <f t="shared" si="37"/>
        <v>120.4</v>
      </c>
      <c r="T320">
        <f t="shared" si="32"/>
        <v>1.155</v>
      </c>
      <c r="U320">
        <f t="shared" si="33"/>
        <v>136.20519999999999</v>
      </c>
      <c r="V320">
        <f t="shared" si="34"/>
        <v>13240.488000000001</v>
      </c>
      <c r="W320" s="58" t="str">
        <f t="shared" si="38"/>
        <v>30° Skew Variable Width Abutment Parallel Wings</v>
      </c>
    </row>
    <row r="321" spans="13:23" x14ac:dyDescent="0.25">
      <c r="M321" t="s">
        <v>140</v>
      </c>
      <c r="N321">
        <f t="shared" si="35"/>
        <v>12</v>
      </c>
      <c r="O321" t="str">
        <f t="shared" si="31"/>
        <v>30_00_12</v>
      </c>
      <c r="P321">
        <v>101.69</v>
      </c>
      <c r="Q321">
        <f t="shared" si="36"/>
        <v>1.49</v>
      </c>
      <c r="R321">
        <v>9903</v>
      </c>
      <c r="S321">
        <f t="shared" si="37"/>
        <v>120.4</v>
      </c>
      <c r="T321">
        <f t="shared" si="32"/>
        <v>1.155</v>
      </c>
      <c r="U321">
        <f t="shared" si="33"/>
        <v>142.99279999999999</v>
      </c>
      <c r="V321">
        <f t="shared" si="34"/>
        <v>13240.488000000001</v>
      </c>
      <c r="W321" s="58" t="str">
        <f t="shared" si="38"/>
        <v>30° Skew Variable Width Abutment Parallel Wings</v>
      </c>
    </row>
    <row r="322" spans="13:23" x14ac:dyDescent="0.25">
      <c r="M322" t="s">
        <v>140</v>
      </c>
      <c r="N322">
        <f t="shared" si="35"/>
        <v>13</v>
      </c>
      <c r="O322" t="str">
        <f t="shared" si="31"/>
        <v>30_00_13</v>
      </c>
      <c r="P322">
        <v>125.19</v>
      </c>
      <c r="Q322">
        <f t="shared" si="36"/>
        <v>1.64</v>
      </c>
      <c r="R322">
        <v>14434</v>
      </c>
      <c r="S322">
        <f t="shared" si="37"/>
        <v>161</v>
      </c>
      <c r="T322">
        <f t="shared" si="32"/>
        <v>1.155</v>
      </c>
      <c r="U322">
        <f t="shared" si="33"/>
        <v>170.6508</v>
      </c>
      <c r="V322">
        <f t="shared" si="34"/>
        <v>18896.919999999998</v>
      </c>
      <c r="W322" s="58" t="str">
        <f t="shared" si="38"/>
        <v>30° Skew Variable Width Abutment Parallel Wings</v>
      </c>
    </row>
    <row r="323" spans="13:23" x14ac:dyDescent="0.25">
      <c r="M323" t="s">
        <v>140</v>
      </c>
      <c r="N323">
        <f t="shared" si="35"/>
        <v>14</v>
      </c>
      <c r="O323" t="str">
        <f t="shared" ref="O323:O361" si="39">CONCATENATE(M323,"_",N323)</f>
        <v>30_00_14</v>
      </c>
      <c r="P323">
        <v>130.35</v>
      </c>
      <c r="Q323">
        <f t="shared" si="36"/>
        <v>1.71</v>
      </c>
      <c r="R323">
        <v>14434</v>
      </c>
      <c r="S323">
        <f t="shared" si="37"/>
        <v>161</v>
      </c>
      <c r="T323">
        <f t="shared" ref="T323:T361" si="40">ROUND(1/COS(RADIANS(LEFT(M323,2)*1)),3)</f>
        <v>1.155</v>
      </c>
      <c r="U323">
        <f t="shared" ref="U323:U361" si="41">P323+Q323*B$3*T323</f>
        <v>177.75119999999998</v>
      </c>
      <c r="V323">
        <f t="shared" ref="V323:V361" si="42">R323+S323*B$3*T323</f>
        <v>18896.919999999998</v>
      </c>
      <c r="W323" s="58" t="str">
        <f t="shared" si="38"/>
        <v>30° Skew Variable Width Abutment Parallel Wings</v>
      </c>
    </row>
    <row r="324" spans="13:23" x14ac:dyDescent="0.25">
      <c r="M324" t="s">
        <v>140</v>
      </c>
      <c r="N324">
        <f t="shared" si="35"/>
        <v>15</v>
      </c>
      <c r="O324" t="str">
        <f t="shared" si="39"/>
        <v>30_00_15</v>
      </c>
      <c r="P324">
        <v>160.85</v>
      </c>
      <c r="Q324">
        <f t="shared" si="36"/>
        <v>1.86</v>
      </c>
      <c r="R324">
        <v>19807</v>
      </c>
      <c r="S324">
        <f t="shared" si="37"/>
        <v>198.6</v>
      </c>
      <c r="T324">
        <f t="shared" si="40"/>
        <v>1.155</v>
      </c>
      <c r="U324">
        <f t="shared" si="41"/>
        <v>212.4092</v>
      </c>
      <c r="V324">
        <f t="shared" si="42"/>
        <v>25312.191999999999</v>
      </c>
      <c r="W324" s="58" t="str">
        <f t="shared" si="38"/>
        <v>30° Skew Variable Width Abutment Parallel Wings</v>
      </c>
    </row>
    <row r="325" spans="13:23" x14ac:dyDescent="0.25">
      <c r="M325" t="s">
        <v>140</v>
      </c>
      <c r="N325">
        <f t="shared" si="35"/>
        <v>16</v>
      </c>
      <c r="O325" t="str">
        <f t="shared" si="39"/>
        <v>30_00_16</v>
      </c>
      <c r="P325">
        <v>166.75</v>
      </c>
      <c r="Q325">
        <f t="shared" si="36"/>
        <v>1.93</v>
      </c>
      <c r="R325">
        <v>19807</v>
      </c>
      <c r="S325">
        <f t="shared" si="37"/>
        <v>198.6</v>
      </c>
      <c r="T325">
        <f t="shared" si="40"/>
        <v>1.155</v>
      </c>
      <c r="U325">
        <f t="shared" si="41"/>
        <v>220.24959999999999</v>
      </c>
      <c r="V325">
        <f t="shared" si="42"/>
        <v>25312.191999999999</v>
      </c>
      <c r="W325" s="58" t="str">
        <f t="shared" si="38"/>
        <v>30° Skew Variable Width Abutment Parallel Wings</v>
      </c>
    </row>
    <row r="326" spans="13:23" x14ac:dyDescent="0.25">
      <c r="M326" t="s">
        <v>141</v>
      </c>
      <c r="N326">
        <f t="shared" si="35"/>
        <v>5</v>
      </c>
      <c r="O326" t="str">
        <f t="shared" si="39"/>
        <v>35_00_5</v>
      </c>
      <c r="P326">
        <v>31.7</v>
      </c>
      <c r="Q326">
        <f t="shared" si="36"/>
        <v>0.71</v>
      </c>
      <c r="R326">
        <v>2972</v>
      </c>
      <c r="S326">
        <f t="shared" si="37"/>
        <v>52.8</v>
      </c>
      <c r="T326">
        <f t="shared" si="40"/>
        <v>1.2210000000000001</v>
      </c>
      <c r="U326">
        <f t="shared" si="41"/>
        <v>52.505839999999999</v>
      </c>
      <c r="V326">
        <f t="shared" si="42"/>
        <v>4519.2511999999997</v>
      </c>
      <c r="W326" s="58" t="str">
        <f t="shared" si="38"/>
        <v>35° Skew Variable Width Abutment Parallel Wings</v>
      </c>
    </row>
    <row r="327" spans="13:23" x14ac:dyDescent="0.25">
      <c r="M327" t="s">
        <v>141</v>
      </c>
      <c r="N327">
        <f t="shared" si="35"/>
        <v>6</v>
      </c>
      <c r="O327" t="str">
        <f t="shared" si="39"/>
        <v>35_00_6</v>
      </c>
      <c r="P327">
        <v>34.39</v>
      </c>
      <c r="Q327">
        <f t="shared" si="36"/>
        <v>0.78</v>
      </c>
      <c r="R327">
        <v>2972</v>
      </c>
      <c r="S327">
        <f t="shared" si="37"/>
        <v>52.8</v>
      </c>
      <c r="T327">
        <f t="shared" si="40"/>
        <v>1.2210000000000001</v>
      </c>
      <c r="U327">
        <f t="shared" si="41"/>
        <v>57.247120000000002</v>
      </c>
      <c r="V327">
        <f t="shared" si="42"/>
        <v>4519.2511999999997</v>
      </c>
      <c r="W327" s="58" t="str">
        <f t="shared" si="38"/>
        <v>35° Skew Variable Width Abutment Parallel Wings</v>
      </c>
    </row>
    <row r="328" spans="13:23" x14ac:dyDescent="0.25">
      <c r="M328" t="s">
        <v>141</v>
      </c>
      <c r="N328">
        <f t="shared" si="35"/>
        <v>7</v>
      </c>
      <c r="O328" t="str">
        <f t="shared" si="39"/>
        <v>35_00_7</v>
      </c>
      <c r="P328">
        <v>50.7</v>
      </c>
      <c r="Q328">
        <f t="shared" si="36"/>
        <v>0.93</v>
      </c>
      <c r="R328">
        <v>4623</v>
      </c>
      <c r="S328">
        <f t="shared" si="37"/>
        <v>68.7</v>
      </c>
      <c r="T328">
        <f t="shared" si="40"/>
        <v>1.2210000000000001</v>
      </c>
      <c r="U328">
        <f t="shared" si="41"/>
        <v>77.952719999999999</v>
      </c>
      <c r="V328">
        <f t="shared" si="42"/>
        <v>6636.1848000000009</v>
      </c>
      <c r="W328" s="58" t="str">
        <f t="shared" si="38"/>
        <v>35° Skew Variable Width Abutment Parallel Wings</v>
      </c>
    </row>
    <row r="329" spans="13:23" x14ac:dyDescent="0.25">
      <c r="M329" t="s">
        <v>141</v>
      </c>
      <c r="N329">
        <f t="shared" si="35"/>
        <v>8</v>
      </c>
      <c r="O329" t="str">
        <f t="shared" si="39"/>
        <v>35_00_8</v>
      </c>
      <c r="P329">
        <v>54.13</v>
      </c>
      <c r="Q329">
        <f t="shared" si="36"/>
        <v>1.01</v>
      </c>
      <c r="R329">
        <v>4623</v>
      </c>
      <c r="S329">
        <f t="shared" si="37"/>
        <v>68.7</v>
      </c>
      <c r="T329">
        <f t="shared" si="40"/>
        <v>1.2210000000000001</v>
      </c>
      <c r="U329">
        <f t="shared" si="41"/>
        <v>83.727040000000002</v>
      </c>
      <c r="V329">
        <f t="shared" si="42"/>
        <v>6636.1848000000009</v>
      </c>
      <c r="W329" s="58" t="str">
        <f t="shared" si="38"/>
        <v>35° Skew Variable Width Abutment Parallel Wings</v>
      </c>
    </row>
    <row r="330" spans="13:23" x14ac:dyDescent="0.25">
      <c r="M330" t="s">
        <v>141</v>
      </c>
      <c r="N330">
        <f t="shared" si="35"/>
        <v>9</v>
      </c>
      <c r="O330" t="str">
        <f t="shared" si="39"/>
        <v>35_00_9</v>
      </c>
      <c r="P330">
        <v>73.52</v>
      </c>
      <c r="Q330">
        <f t="shared" si="36"/>
        <v>1.19</v>
      </c>
      <c r="R330">
        <v>6860</v>
      </c>
      <c r="S330">
        <f t="shared" si="37"/>
        <v>91</v>
      </c>
      <c r="T330">
        <f t="shared" si="40"/>
        <v>1.2210000000000001</v>
      </c>
      <c r="U330">
        <f t="shared" si="41"/>
        <v>108.39176</v>
      </c>
      <c r="V330">
        <f t="shared" si="42"/>
        <v>9526.6640000000007</v>
      </c>
      <c r="W330" s="58" t="str">
        <f t="shared" si="38"/>
        <v>35° Skew Variable Width Abutment Parallel Wings</v>
      </c>
    </row>
    <row r="331" spans="13:23" x14ac:dyDescent="0.25">
      <c r="M331" t="s">
        <v>141</v>
      </c>
      <c r="N331">
        <f t="shared" si="35"/>
        <v>10</v>
      </c>
      <c r="O331" t="str">
        <f t="shared" si="39"/>
        <v>35_00_10</v>
      </c>
      <c r="P331">
        <v>77.540000000000006</v>
      </c>
      <c r="Q331">
        <f t="shared" si="36"/>
        <v>1.27</v>
      </c>
      <c r="R331">
        <v>6860</v>
      </c>
      <c r="S331">
        <f t="shared" si="37"/>
        <v>91</v>
      </c>
      <c r="T331">
        <f t="shared" si="40"/>
        <v>1.2210000000000001</v>
      </c>
      <c r="U331">
        <f t="shared" si="41"/>
        <v>114.75608000000001</v>
      </c>
      <c r="V331">
        <f t="shared" si="42"/>
        <v>9526.6640000000007</v>
      </c>
      <c r="W331" s="58" t="str">
        <f t="shared" si="38"/>
        <v>35° Skew Variable Width Abutment Parallel Wings</v>
      </c>
    </row>
    <row r="332" spans="13:23" x14ac:dyDescent="0.25">
      <c r="M332" t="s">
        <v>141</v>
      </c>
      <c r="N332">
        <f t="shared" si="35"/>
        <v>11</v>
      </c>
      <c r="O332" t="str">
        <f t="shared" si="39"/>
        <v>35_00_11</v>
      </c>
      <c r="P332">
        <v>101.33</v>
      </c>
      <c r="Q332">
        <f t="shared" si="36"/>
        <v>1.41</v>
      </c>
      <c r="R332">
        <v>10338</v>
      </c>
      <c r="S332">
        <f t="shared" si="37"/>
        <v>120.4</v>
      </c>
      <c r="T332">
        <f t="shared" si="40"/>
        <v>1.2210000000000001</v>
      </c>
      <c r="U332">
        <f t="shared" si="41"/>
        <v>142.64864</v>
      </c>
      <c r="V332">
        <f t="shared" si="42"/>
        <v>13866.2016</v>
      </c>
      <c r="W332" s="58" t="str">
        <f t="shared" si="38"/>
        <v>35° Skew Variable Width Abutment Parallel Wings</v>
      </c>
    </row>
    <row r="333" spans="13:23" x14ac:dyDescent="0.25">
      <c r="M333" t="s">
        <v>141</v>
      </c>
      <c r="N333">
        <f t="shared" si="35"/>
        <v>12</v>
      </c>
      <c r="O333" t="str">
        <f t="shared" si="39"/>
        <v>35_00_12</v>
      </c>
      <c r="P333">
        <v>106.09</v>
      </c>
      <c r="Q333">
        <f t="shared" si="36"/>
        <v>1.49</v>
      </c>
      <c r="R333">
        <v>10338</v>
      </c>
      <c r="S333">
        <f t="shared" si="37"/>
        <v>120.4</v>
      </c>
      <c r="T333">
        <f t="shared" si="40"/>
        <v>1.2210000000000001</v>
      </c>
      <c r="U333">
        <f t="shared" si="41"/>
        <v>149.75296</v>
      </c>
      <c r="V333">
        <f t="shared" si="42"/>
        <v>13866.2016</v>
      </c>
      <c r="W333" s="58" t="str">
        <f t="shared" si="38"/>
        <v>35° Skew Variable Width Abutment Parallel Wings</v>
      </c>
    </row>
    <row r="334" spans="13:23" x14ac:dyDescent="0.25">
      <c r="M334" t="s">
        <v>141</v>
      </c>
      <c r="N334">
        <f t="shared" si="35"/>
        <v>13</v>
      </c>
      <c r="O334" t="str">
        <f t="shared" si="39"/>
        <v>35_00_13</v>
      </c>
      <c r="P334">
        <v>133.58000000000001</v>
      </c>
      <c r="Q334">
        <f t="shared" si="36"/>
        <v>1.64</v>
      </c>
      <c r="R334">
        <v>15348</v>
      </c>
      <c r="S334">
        <f t="shared" si="37"/>
        <v>161</v>
      </c>
      <c r="T334">
        <f t="shared" si="40"/>
        <v>1.2210000000000001</v>
      </c>
      <c r="U334">
        <f t="shared" si="41"/>
        <v>181.63856000000001</v>
      </c>
      <c r="V334">
        <f t="shared" si="42"/>
        <v>20065.944</v>
      </c>
      <c r="W334" s="58" t="str">
        <f t="shared" si="38"/>
        <v>35° Skew Variable Width Abutment Parallel Wings</v>
      </c>
    </row>
    <row r="335" spans="13:23" x14ac:dyDescent="0.25">
      <c r="M335" t="s">
        <v>141</v>
      </c>
      <c r="N335">
        <f t="shared" si="35"/>
        <v>14</v>
      </c>
      <c r="O335" t="str">
        <f t="shared" si="39"/>
        <v>35_00_14</v>
      </c>
      <c r="P335">
        <v>139.09</v>
      </c>
      <c r="Q335">
        <f t="shared" si="36"/>
        <v>1.71</v>
      </c>
      <c r="R335">
        <v>15348</v>
      </c>
      <c r="S335">
        <f t="shared" si="37"/>
        <v>161</v>
      </c>
      <c r="T335">
        <f t="shared" si="40"/>
        <v>1.2210000000000001</v>
      </c>
      <c r="U335">
        <f t="shared" si="41"/>
        <v>189.19983999999999</v>
      </c>
      <c r="V335">
        <f t="shared" si="42"/>
        <v>20065.944</v>
      </c>
      <c r="W335" s="58" t="str">
        <f t="shared" si="38"/>
        <v>35° Skew Variable Width Abutment Parallel Wings</v>
      </c>
    </row>
    <row r="336" spans="13:23" x14ac:dyDescent="0.25">
      <c r="M336" t="s">
        <v>141</v>
      </c>
      <c r="N336">
        <f t="shared" si="35"/>
        <v>15</v>
      </c>
      <c r="O336" t="str">
        <f t="shared" si="39"/>
        <v>35_00_15</v>
      </c>
      <c r="P336">
        <v>170.28</v>
      </c>
      <c r="Q336">
        <f t="shared" si="36"/>
        <v>1.86</v>
      </c>
      <c r="R336">
        <v>20987</v>
      </c>
      <c r="S336">
        <f t="shared" si="37"/>
        <v>198.6</v>
      </c>
      <c r="T336">
        <f t="shared" si="40"/>
        <v>1.2210000000000001</v>
      </c>
      <c r="U336">
        <f t="shared" si="41"/>
        <v>224.78543999999999</v>
      </c>
      <c r="V336">
        <f t="shared" si="42"/>
        <v>26806.774400000002</v>
      </c>
      <c r="W336" s="58" t="str">
        <f t="shared" si="38"/>
        <v>35° Skew Variable Width Abutment Parallel Wings</v>
      </c>
    </row>
    <row r="337" spans="13:23" x14ac:dyDescent="0.25">
      <c r="M337" t="s">
        <v>141</v>
      </c>
      <c r="N337">
        <f t="shared" si="35"/>
        <v>16</v>
      </c>
      <c r="O337" t="str">
        <f t="shared" si="39"/>
        <v>35_00_16</v>
      </c>
      <c r="P337">
        <v>176.52</v>
      </c>
      <c r="Q337">
        <f t="shared" si="36"/>
        <v>1.93</v>
      </c>
      <c r="R337">
        <v>20987</v>
      </c>
      <c r="S337">
        <f t="shared" si="37"/>
        <v>198.6</v>
      </c>
      <c r="T337">
        <f t="shared" si="40"/>
        <v>1.2210000000000001</v>
      </c>
      <c r="U337">
        <f t="shared" si="41"/>
        <v>233.07672000000002</v>
      </c>
      <c r="V337">
        <f t="shared" si="42"/>
        <v>26806.774400000002</v>
      </c>
      <c r="W337" s="58" t="str">
        <f t="shared" si="38"/>
        <v>35° Skew Variable Width Abutment Parallel Wings</v>
      </c>
    </row>
    <row r="338" spans="13:23" x14ac:dyDescent="0.25">
      <c r="M338" t="s">
        <v>142</v>
      </c>
      <c r="N338">
        <f t="shared" si="35"/>
        <v>5</v>
      </c>
      <c r="O338" t="str">
        <f t="shared" si="39"/>
        <v>40_00_5</v>
      </c>
      <c r="P338">
        <v>34.19</v>
      </c>
      <c r="Q338">
        <f t="shared" si="36"/>
        <v>0.71</v>
      </c>
      <c r="R338">
        <v>32102</v>
      </c>
      <c r="S338">
        <f t="shared" si="37"/>
        <v>52.8</v>
      </c>
      <c r="T338">
        <f t="shared" si="40"/>
        <v>1.3049999999999999</v>
      </c>
      <c r="U338">
        <f t="shared" si="41"/>
        <v>56.427199999999999</v>
      </c>
      <c r="V338">
        <f t="shared" si="42"/>
        <v>33755.695999999996</v>
      </c>
      <c r="W338" s="58" t="str">
        <f t="shared" si="38"/>
        <v>40° Skew Variable Width Abutment Parallel Wings</v>
      </c>
    </row>
    <row r="339" spans="13:23" x14ac:dyDescent="0.25">
      <c r="M339" t="s">
        <v>142</v>
      </c>
      <c r="N339">
        <f t="shared" si="35"/>
        <v>6</v>
      </c>
      <c r="O339" t="str">
        <f t="shared" si="39"/>
        <v>40_00_6</v>
      </c>
      <c r="P339">
        <v>37.090000000000003</v>
      </c>
      <c r="Q339">
        <f t="shared" si="36"/>
        <v>0.78</v>
      </c>
      <c r="R339">
        <v>3202</v>
      </c>
      <c r="S339">
        <f t="shared" si="37"/>
        <v>52.8</v>
      </c>
      <c r="T339">
        <f t="shared" si="40"/>
        <v>1.3049999999999999</v>
      </c>
      <c r="U339">
        <f t="shared" si="41"/>
        <v>61.519599999999997</v>
      </c>
      <c r="V339">
        <f t="shared" si="42"/>
        <v>4855.6959999999999</v>
      </c>
      <c r="W339" s="58" t="str">
        <f t="shared" si="38"/>
        <v>40° Skew Variable Width Abutment Parallel Wings</v>
      </c>
    </row>
    <row r="340" spans="13:23" x14ac:dyDescent="0.25">
      <c r="M340" t="s">
        <v>142</v>
      </c>
      <c r="N340">
        <f t="shared" si="35"/>
        <v>7</v>
      </c>
      <c r="O340" t="str">
        <f t="shared" si="39"/>
        <v>40_00_7</v>
      </c>
      <c r="P340">
        <v>53.82</v>
      </c>
      <c r="Q340">
        <f t="shared" si="36"/>
        <v>0.93</v>
      </c>
      <c r="R340">
        <v>4894</v>
      </c>
      <c r="S340">
        <f t="shared" si="37"/>
        <v>68.7</v>
      </c>
      <c r="T340">
        <f t="shared" si="40"/>
        <v>1.3049999999999999</v>
      </c>
      <c r="U340">
        <f t="shared" si="41"/>
        <v>82.947599999999994</v>
      </c>
      <c r="V340">
        <f t="shared" si="42"/>
        <v>7045.6840000000002</v>
      </c>
      <c r="W340" s="58" t="str">
        <f t="shared" si="38"/>
        <v>40° Skew Variable Width Abutment Parallel Wings</v>
      </c>
    </row>
    <row r="341" spans="13:23" x14ac:dyDescent="0.25">
      <c r="M341" t="s">
        <v>142</v>
      </c>
      <c r="N341">
        <f t="shared" si="35"/>
        <v>8</v>
      </c>
      <c r="O341" t="str">
        <f t="shared" si="39"/>
        <v>40_00_8</v>
      </c>
      <c r="P341">
        <v>57.46</v>
      </c>
      <c r="Q341">
        <f t="shared" si="36"/>
        <v>1.01</v>
      </c>
      <c r="R341">
        <v>4894</v>
      </c>
      <c r="S341">
        <f t="shared" si="37"/>
        <v>68.7</v>
      </c>
      <c r="T341">
        <f t="shared" si="40"/>
        <v>1.3049999999999999</v>
      </c>
      <c r="U341">
        <f t="shared" si="41"/>
        <v>89.093199999999996</v>
      </c>
      <c r="V341">
        <f t="shared" si="42"/>
        <v>7045.6840000000002</v>
      </c>
      <c r="W341" s="58" t="str">
        <f t="shared" si="38"/>
        <v>40° Skew Variable Width Abutment Parallel Wings</v>
      </c>
    </row>
    <row r="342" spans="13:23" x14ac:dyDescent="0.25">
      <c r="M342" t="s">
        <v>142</v>
      </c>
      <c r="N342">
        <f t="shared" si="35"/>
        <v>9</v>
      </c>
      <c r="O342" t="str">
        <f t="shared" si="39"/>
        <v>40_00_9</v>
      </c>
      <c r="P342">
        <v>80.09</v>
      </c>
      <c r="Q342">
        <f t="shared" si="36"/>
        <v>1.19</v>
      </c>
      <c r="R342">
        <v>7447</v>
      </c>
      <c r="S342">
        <f t="shared" si="37"/>
        <v>91</v>
      </c>
      <c r="T342">
        <f t="shared" si="40"/>
        <v>1.3049999999999999</v>
      </c>
      <c r="U342">
        <f t="shared" si="41"/>
        <v>117.3608</v>
      </c>
      <c r="V342">
        <f t="shared" si="42"/>
        <v>10297.119999999999</v>
      </c>
      <c r="W342" s="58" t="str">
        <f t="shared" si="38"/>
        <v>40° Skew Variable Width Abutment Parallel Wings</v>
      </c>
    </row>
    <row r="343" spans="13:23" x14ac:dyDescent="0.25">
      <c r="M343" t="s">
        <v>142</v>
      </c>
      <c r="N343">
        <f t="shared" si="35"/>
        <v>10</v>
      </c>
      <c r="O343" t="str">
        <f t="shared" si="39"/>
        <v>40_00_10</v>
      </c>
      <c r="P343">
        <v>84.47</v>
      </c>
      <c r="Q343">
        <f t="shared" si="36"/>
        <v>1.27</v>
      </c>
      <c r="R343">
        <v>7447</v>
      </c>
      <c r="S343">
        <f t="shared" si="37"/>
        <v>91</v>
      </c>
      <c r="T343">
        <f t="shared" si="40"/>
        <v>1.3049999999999999</v>
      </c>
      <c r="U343">
        <f t="shared" si="41"/>
        <v>124.24639999999999</v>
      </c>
      <c r="V343">
        <f t="shared" si="42"/>
        <v>10297.119999999999</v>
      </c>
      <c r="W343" s="58" t="str">
        <f t="shared" si="38"/>
        <v>40° Skew Variable Width Abutment Parallel Wings</v>
      </c>
    </row>
    <row r="344" spans="13:23" x14ac:dyDescent="0.25">
      <c r="M344" t="s">
        <v>142</v>
      </c>
      <c r="N344">
        <f t="shared" si="35"/>
        <v>11</v>
      </c>
      <c r="O344" t="str">
        <f t="shared" si="39"/>
        <v>40_00_11</v>
      </c>
      <c r="P344">
        <v>108.97</v>
      </c>
      <c r="Q344">
        <f t="shared" si="36"/>
        <v>1.41</v>
      </c>
      <c r="R344">
        <v>11097</v>
      </c>
      <c r="S344">
        <f t="shared" si="37"/>
        <v>120.4</v>
      </c>
      <c r="T344">
        <f t="shared" si="40"/>
        <v>1.3049999999999999</v>
      </c>
      <c r="U344">
        <f t="shared" si="41"/>
        <v>153.13119999999998</v>
      </c>
      <c r="V344">
        <f t="shared" si="42"/>
        <v>14867.928</v>
      </c>
      <c r="W344" s="58" t="str">
        <f t="shared" si="38"/>
        <v>40° Skew Variable Width Abutment Parallel Wings</v>
      </c>
    </row>
    <row r="345" spans="13:23" x14ac:dyDescent="0.25">
      <c r="M345" t="s">
        <v>142</v>
      </c>
      <c r="N345">
        <f t="shared" si="35"/>
        <v>12</v>
      </c>
      <c r="O345" t="str">
        <f t="shared" si="39"/>
        <v>40_00_12</v>
      </c>
      <c r="P345">
        <v>114.1</v>
      </c>
      <c r="Q345">
        <f t="shared" si="36"/>
        <v>1.49</v>
      </c>
      <c r="R345">
        <v>11097</v>
      </c>
      <c r="S345">
        <f t="shared" si="37"/>
        <v>120.4</v>
      </c>
      <c r="T345">
        <f t="shared" si="40"/>
        <v>1.3049999999999999</v>
      </c>
      <c r="U345">
        <f t="shared" si="41"/>
        <v>160.76679999999999</v>
      </c>
      <c r="V345">
        <f t="shared" si="42"/>
        <v>14867.928</v>
      </c>
      <c r="W345" s="58" t="str">
        <f t="shared" si="38"/>
        <v>40° Skew Variable Width Abutment Parallel Wings</v>
      </c>
    </row>
    <row r="346" spans="13:23" x14ac:dyDescent="0.25">
      <c r="M346" t="s">
        <v>142</v>
      </c>
      <c r="N346">
        <f t="shared" si="35"/>
        <v>13</v>
      </c>
      <c r="O346" t="str">
        <f t="shared" si="39"/>
        <v>40_00_13</v>
      </c>
      <c r="P346">
        <v>142.31</v>
      </c>
      <c r="Q346">
        <f t="shared" si="36"/>
        <v>1.64</v>
      </c>
      <c r="R346">
        <v>16337</v>
      </c>
      <c r="S346">
        <f t="shared" si="37"/>
        <v>161</v>
      </c>
      <c r="T346">
        <f t="shared" si="40"/>
        <v>1.3049999999999999</v>
      </c>
      <c r="U346">
        <f t="shared" si="41"/>
        <v>193.6748</v>
      </c>
      <c r="V346">
        <f t="shared" si="42"/>
        <v>21379.52</v>
      </c>
      <c r="W346" s="58" t="str">
        <f t="shared" si="38"/>
        <v>40° Skew Variable Width Abutment Parallel Wings</v>
      </c>
    </row>
    <row r="347" spans="13:23" x14ac:dyDescent="0.25">
      <c r="M347" t="s">
        <v>142</v>
      </c>
      <c r="N347">
        <f t="shared" si="35"/>
        <v>14</v>
      </c>
      <c r="O347" t="str">
        <f t="shared" si="39"/>
        <v>40_00_14</v>
      </c>
      <c r="P347">
        <v>148.16999999999999</v>
      </c>
      <c r="Q347">
        <f t="shared" si="36"/>
        <v>1.71</v>
      </c>
      <c r="R347">
        <v>16337</v>
      </c>
      <c r="S347">
        <f t="shared" si="37"/>
        <v>161</v>
      </c>
      <c r="T347">
        <f t="shared" si="40"/>
        <v>1.3049999999999999</v>
      </c>
      <c r="U347">
        <f t="shared" si="41"/>
        <v>201.72719999999998</v>
      </c>
      <c r="V347">
        <f t="shared" si="42"/>
        <v>21379.52</v>
      </c>
      <c r="W347" s="58" t="str">
        <f t="shared" si="38"/>
        <v>40° Skew Variable Width Abutment Parallel Wings</v>
      </c>
    </row>
    <row r="348" spans="13:23" x14ac:dyDescent="0.25">
      <c r="M348" t="s">
        <v>142</v>
      </c>
      <c r="N348">
        <f t="shared" si="35"/>
        <v>15</v>
      </c>
      <c r="O348" t="str">
        <f t="shared" si="39"/>
        <v>40_00_15</v>
      </c>
      <c r="P348">
        <v>180.08</v>
      </c>
      <c r="Q348">
        <f t="shared" si="36"/>
        <v>1.86</v>
      </c>
      <c r="R348">
        <v>22188</v>
      </c>
      <c r="S348">
        <f t="shared" si="37"/>
        <v>198.6</v>
      </c>
      <c r="T348">
        <f t="shared" si="40"/>
        <v>1.3049999999999999</v>
      </c>
      <c r="U348">
        <f t="shared" si="41"/>
        <v>238.33520000000001</v>
      </c>
      <c r="V348">
        <f t="shared" si="42"/>
        <v>28408.151999999998</v>
      </c>
      <c r="W348" s="58" t="str">
        <f t="shared" si="38"/>
        <v>40° Skew Variable Width Abutment Parallel Wings</v>
      </c>
    </row>
    <row r="349" spans="13:23" x14ac:dyDescent="0.25">
      <c r="M349" t="s">
        <v>142</v>
      </c>
      <c r="N349">
        <f t="shared" si="35"/>
        <v>16</v>
      </c>
      <c r="O349" t="str">
        <f t="shared" si="39"/>
        <v>40_00_16</v>
      </c>
      <c r="P349">
        <v>186.69</v>
      </c>
      <c r="Q349">
        <f t="shared" si="36"/>
        <v>1.93</v>
      </c>
      <c r="R349">
        <v>22188</v>
      </c>
      <c r="S349">
        <f t="shared" si="37"/>
        <v>198.6</v>
      </c>
      <c r="T349">
        <f t="shared" si="40"/>
        <v>1.3049999999999999</v>
      </c>
      <c r="U349">
        <f t="shared" si="41"/>
        <v>247.13759999999999</v>
      </c>
      <c r="V349">
        <f t="shared" si="42"/>
        <v>28408.151999999998</v>
      </c>
      <c r="W349" s="58" t="str">
        <f t="shared" si="38"/>
        <v>40° Skew Variable Width Abutment Parallel Wings</v>
      </c>
    </row>
    <row r="350" spans="13:23" x14ac:dyDescent="0.25">
      <c r="M350" t="s">
        <v>143</v>
      </c>
      <c r="N350">
        <f t="shared" si="35"/>
        <v>5</v>
      </c>
      <c r="O350" t="str">
        <f t="shared" si="39"/>
        <v>45_00_5</v>
      </c>
      <c r="P350">
        <v>36.9</v>
      </c>
      <c r="Q350">
        <f t="shared" si="36"/>
        <v>0.71</v>
      </c>
      <c r="R350">
        <v>3443</v>
      </c>
      <c r="S350">
        <f t="shared" si="37"/>
        <v>52.8</v>
      </c>
      <c r="T350">
        <f t="shared" si="40"/>
        <v>1.4139999999999999</v>
      </c>
      <c r="U350">
        <f t="shared" si="41"/>
        <v>60.994559999999993</v>
      </c>
      <c r="V350">
        <f t="shared" si="42"/>
        <v>5234.8207999999995</v>
      </c>
      <c r="W350" s="58" t="str">
        <f t="shared" si="38"/>
        <v>45° Skew Variable Width Abutment Parallel Wings</v>
      </c>
    </row>
    <row r="351" spans="13:23" x14ac:dyDescent="0.25">
      <c r="M351" t="s">
        <v>143</v>
      </c>
      <c r="N351">
        <f t="shared" si="35"/>
        <v>6</v>
      </c>
      <c r="O351" t="str">
        <f t="shared" si="39"/>
        <v>45_00_6</v>
      </c>
      <c r="P351">
        <v>40.03</v>
      </c>
      <c r="Q351">
        <f t="shared" si="36"/>
        <v>0.78</v>
      </c>
      <c r="R351">
        <v>3443</v>
      </c>
      <c r="S351">
        <f t="shared" si="37"/>
        <v>52.8</v>
      </c>
      <c r="T351">
        <f t="shared" si="40"/>
        <v>1.4139999999999999</v>
      </c>
      <c r="U351">
        <f t="shared" si="41"/>
        <v>66.500079999999997</v>
      </c>
      <c r="V351">
        <f t="shared" si="42"/>
        <v>5234.8207999999995</v>
      </c>
      <c r="W351" s="58" t="str">
        <f t="shared" si="38"/>
        <v>45° Skew Variable Width Abutment Parallel Wings</v>
      </c>
    </row>
    <row r="352" spans="13:23" x14ac:dyDescent="0.25">
      <c r="M352" t="s">
        <v>143</v>
      </c>
      <c r="N352">
        <f t="shared" si="35"/>
        <v>7</v>
      </c>
      <c r="O352" t="str">
        <f t="shared" si="39"/>
        <v>45_00_7</v>
      </c>
      <c r="P352">
        <v>57.21</v>
      </c>
      <c r="Q352">
        <f t="shared" si="36"/>
        <v>0.93</v>
      </c>
      <c r="R352">
        <v>5214</v>
      </c>
      <c r="S352">
        <f t="shared" si="37"/>
        <v>68.7</v>
      </c>
      <c r="T352">
        <f t="shared" si="40"/>
        <v>1.4139999999999999</v>
      </c>
      <c r="U352">
        <f t="shared" si="41"/>
        <v>88.770479999999992</v>
      </c>
      <c r="V352">
        <f t="shared" si="42"/>
        <v>7545.4032000000007</v>
      </c>
      <c r="W352" s="58" t="str">
        <f t="shared" si="38"/>
        <v>45° Skew Variable Width Abutment Parallel Wings</v>
      </c>
    </row>
    <row r="353" spans="13:23" x14ac:dyDescent="0.25">
      <c r="M353" t="s">
        <v>143</v>
      </c>
      <c r="N353">
        <f t="shared" si="35"/>
        <v>8</v>
      </c>
      <c r="O353" t="str">
        <f t="shared" si="39"/>
        <v>45_00_8</v>
      </c>
      <c r="P353">
        <v>61.08</v>
      </c>
      <c r="Q353">
        <f t="shared" si="36"/>
        <v>1.01</v>
      </c>
      <c r="R353">
        <v>5214</v>
      </c>
      <c r="S353">
        <f t="shared" si="37"/>
        <v>68.7</v>
      </c>
      <c r="T353">
        <f t="shared" si="40"/>
        <v>1.4139999999999999</v>
      </c>
      <c r="U353">
        <f t="shared" si="41"/>
        <v>95.35535999999999</v>
      </c>
      <c r="V353">
        <f t="shared" si="42"/>
        <v>7545.4032000000007</v>
      </c>
      <c r="W353" s="58" t="str">
        <f t="shared" si="38"/>
        <v>45° Skew Variable Width Abutment Parallel Wings</v>
      </c>
    </row>
    <row r="354" spans="13:23" x14ac:dyDescent="0.25">
      <c r="M354" t="s">
        <v>143</v>
      </c>
      <c r="N354">
        <f t="shared" si="35"/>
        <v>9</v>
      </c>
      <c r="O354" t="str">
        <f t="shared" si="39"/>
        <v>45_00_9</v>
      </c>
      <c r="P354">
        <v>86.98</v>
      </c>
      <c r="Q354">
        <f t="shared" si="36"/>
        <v>1.19</v>
      </c>
      <c r="R354">
        <v>8069</v>
      </c>
      <c r="S354">
        <f t="shared" si="37"/>
        <v>91</v>
      </c>
      <c r="T354">
        <f t="shared" si="40"/>
        <v>1.4139999999999999</v>
      </c>
      <c r="U354">
        <f t="shared" si="41"/>
        <v>127.36384000000001</v>
      </c>
      <c r="V354">
        <f t="shared" si="42"/>
        <v>11157.175999999999</v>
      </c>
      <c r="W354" s="58" t="str">
        <f t="shared" si="38"/>
        <v>45° Skew Variable Width Abutment Parallel Wings</v>
      </c>
    </row>
    <row r="355" spans="13:23" x14ac:dyDescent="0.25">
      <c r="M355" t="s">
        <v>143</v>
      </c>
      <c r="N355">
        <f t="shared" si="35"/>
        <v>10</v>
      </c>
      <c r="O355" t="str">
        <f t="shared" si="39"/>
        <v>45_00_10</v>
      </c>
      <c r="P355">
        <v>91.74</v>
      </c>
      <c r="Q355">
        <f t="shared" si="36"/>
        <v>1.27</v>
      </c>
      <c r="R355">
        <v>8069</v>
      </c>
      <c r="S355">
        <f t="shared" si="37"/>
        <v>91</v>
      </c>
      <c r="T355">
        <f t="shared" si="40"/>
        <v>1.4139999999999999</v>
      </c>
      <c r="U355">
        <f t="shared" si="41"/>
        <v>134.83872</v>
      </c>
      <c r="V355">
        <f t="shared" si="42"/>
        <v>11157.175999999999</v>
      </c>
      <c r="W355" s="58" t="str">
        <f t="shared" si="38"/>
        <v>45° Skew Variable Width Abutment Parallel Wings</v>
      </c>
    </row>
    <row r="356" spans="13:23" x14ac:dyDescent="0.25">
      <c r="M356" t="s">
        <v>143</v>
      </c>
      <c r="N356">
        <f t="shared" si="35"/>
        <v>11</v>
      </c>
      <c r="O356" t="str">
        <f t="shared" si="39"/>
        <v>45_00_11</v>
      </c>
      <c r="P356">
        <v>117.01</v>
      </c>
      <c r="Q356">
        <f t="shared" si="36"/>
        <v>1.41</v>
      </c>
      <c r="R356">
        <v>11902</v>
      </c>
      <c r="S356">
        <f t="shared" si="37"/>
        <v>120.4</v>
      </c>
      <c r="T356">
        <f t="shared" si="40"/>
        <v>1.4139999999999999</v>
      </c>
      <c r="U356">
        <f t="shared" si="41"/>
        <v>164.85975999999999</v>
      </c>
      <c r="V356">
        <f t="shared" si="42"/>
        <v>15987.894400000001</v>
      </c>
      <c r="W356" s="58" t="str">
        <f t="shared" si="38"/>
        <v>45° Skew Variable Width Abutment Parallel Wings</v>
      </c>
    </row>
    <row r="357" spans="13:23" x14ac:dyDescent="0.25">
      <c r="M357" t="s">
        <v>143</v>
      </c>
      <c r="N357">
        <f t="shared" si="35"/>
        <v>12</v>
      </c>
      <c r="O357" t="str">
        <f t="shared" si="39"/>
        <v>45_00_12</v>
      </c>
      <c r="P357">
        <v>122.51</v>
      </c>
      <c r="Q357">
        <f t="shared" si="36"/>
        <v>1.49</v>
      </c>
      <c r="R357">
        <v>11902</v>
      </c>
      <c r="S357">
        <f t="shared" si="37"/>
        <v>120.4</v>
      </c>
      <c r="T357">
        <f t="shared" si="40"/>
        <v>1.4139999999999999</v>
      </c>
      <c r="U357">
        <f t="shared" si="41"/>
        <v>173.07463999999999</v>
      </c>
      <c r="V357">
        <f t="shared" si="42"/>
        <v>15987.894400000001</v>
      </c>
      <c r="W357" s="58" t="str">
        <f t="shared" si="38"/>
        <v>45° Skew Variable Width Abutment Parallel Wings</v>
      </c>
    </row>
    <row r="358" spans="13:23" x14ac:dyDescent="0.25">
      <c r="M358" t="s">
        <v>143</v>
      </c>
      <c r="N358">
        <f t="shared" si="35"/>
        <v>13</v>
      </c>
      <c r="O358" t="str">
        <f t="shared" si="39"/>
        <v>45_00_13</v>
      </c>
      <c r="P358">
        <v>155.06</v>
      </c>
      <c r="Q358">
        <f t="shared" si="36"/>
        <v>1.64</v>
      </c>
      <c r="R358">
        <v>17799</v>
      </c>
      <c r="S358">
        <f t="shared" si="37"/>
        <v>161</v>
      </c>
      <c r="T358">
        <f t="shared" si="40"/>
        <v>1.4139999999999999</v>
      </c>
      <c r="U358">
        <f t="shared" si="41"/>
        <v>210.71503999999999</v>
      </c>
      <c r="V358">
        <f t="shared" si="42"/>
        <v>23262.696</v>
      </c>
      <c r="W358" s="58" t="str">
        <f t="shared" si="38"/>
        <v>45° Skew Variable Width Abutment Parallel Wings</v>
      </c>
    </row>
    <row r="359" spans="13:23" x14ac:dyDescent="0.25">
      <c r="M359" t="s">
        <v>143</v>
      </c>
      <c r="N359">
        <f t="shared" si="35"/>
        <v>14</v>
      </c>
      <c r="O359" t="str">
        <f t="shared" si="39"/>
        <v>45_00_14</v>
      </c>
      <c r="P359">
        <v>161.44999999999999</v>
      </c>
      <c r="Q359">
        <f t="shared" si="36"/>
        <v>1.71</v>
      </c>
      <c r="R359">
        <v>17799</v>
      </c>
      <c r="S359">
        <f t="shared" si="37"/>
        <v>161</v>
      </c>
      <c r="T359">
        <f t="shared" si="40"/>
        <v>1.4139999999999999</v>
      </c>
      <c r="U359">
        <f t="shared" si="41"/>
        <v>219.48055999999997</v>
      </c>
      <c r="V359">
        <f t="shared" si="42"/>
        <v>23262.696</v>
      </c>
      <c r="W359" s="58" t="str">
        <f t="shared" si="38"/>
        <v>45° Skew Variable Width Abutment Parallel Wings</v>
      </c>
    </row>
    <row r="360" spans="13:23" x14ac:dyDescent="0.25">
      <c r="M360" t="s">
        <v>143</v>
      </c>
      <c r="N360">
        <f t="shared" si="35"/>
        <v>15</v>
      </c>
      <c r="O360" t="str">
        <f t="shared" si="39"/>
        <v>45_00_15</v>
      </c>
      <c r="P360">
        <v>194.42</v>
      </c>
      <c r="Q360">
        <f t="shared" si="36"/>
        <v>1.86</v>
      </c>
      <c r="R360">
        <v>23895</v>
      </c>
      <c r="S360">
        <f t="shared" si="37"/>
        <v>198.6</v>
      </c>
      <c r="T360">
        <f t="shared" si="40"/>
        <v>1.4139999999999999</v>
      </c>
      <c r="U360">
        <f t="shared" si="41"/>
        <v>257.54095999999998</v>
      </c>
      <c r="V360">
        <f t="shared" si="42"/>
        <v>30634.689599999998</v>
      </c>
      <c r="W360" s="58" t="str">
        <f t="shared" si="38"/>
        <v>45° Skew Variable Width Abutment Parallel Wings</v>
      </c>
    </row>
    <row r="361" spans="13:23" x14ac:dyDescent="0.25">
      <c r="M361" t="s">
        <v>143</v>
      </c>
      <c r="N361">
        <f t="shared" si="35"/>
        <v>16</v>
      </c>
      <c r="O361" t="str">
        <f t="shared" si="39"/>
        <v>45_00_16</v>
      </c>
      <c r="P361">
        <v>201.55</v>
      </c>
      <c r="Q361">
        <f t="shared" si="36"/>
        <v>1.93</v>
      </c>
      <c r="R361">
        <v>23895</v>
      </c>
      <c r="S361">
        <f t="shared" si="37"/>
        <v>198.6</v>
      </c>
      <c r="T361">
        <f t="shared" si="40"/>
        <v>1.4139999999999999</v>
      </c>
      <c r="U361">
        <f t="shared" si="41"/>
        <v>267.04647999999997</v>
      </c>
      <c r="V361">
        <f t="shared" si="42"/>
        <v>30634.689599999998</v>
      </c>
      <c r="W361" s="58" t="str">
        <f t="shared" si="38"/>
        <v>45° Skew Variable Width Abutment Parallel Wings</v>
      </c>
    </row>
  </sheetData>
  <mergeCells count="13">
    <mergeCell ref="A22:B22"/>
    <mergeCell ref="A23:B23"/>
    <mergeCell ref="C11:F11"/>
    <mergeCell ref="C1:F1"/>
    <mergeCell ref="C2:F2"/>
    <mergeCell ref="C3:F3"/>
    <mergeCell ref="C4:F4"/>
    <mergeCell ref="C5:F5"/>
    <mergeCell ref="C6:F6"/>
    <mergeCell ref="C7:F7"/>
    <mergeCell ref="C8:F8"/>
    <mergeCell ref="C9:F9"/>
    <mergeCell ref="C10:F10"/>
  </mergeCells>
  <phoneticPr fontId="12" type="noConversion"/>
  <dataValidations count="1">
    <dataValidation type="list" allowBlank="1" showInputMessage="1" showErrorMessage="1" sqref="B5" xr:uid="{D0238C5E-1761-4FBF-9327-32107BF6B410}">
      <formula1>$AC$2:$AC$11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542B-33B6-453A-8689-BB78BA229D0B}">
  <dimension ref="A1:AH361"/>
  <sheetViews>
    <sheetView workbookViewId="0">
      <selection activeCell="K24" sqref="K24"/>
    </sheetView>
  </sheetViews>
  <sheetFormatPr defaultRowHeight="15" x14ac:dyDescent="0.25"/>
  <cols>
    <col min="1" max="1" width="46.28515625" bestFit="1" customWidth="1"/>
    <col min="2" max="2" width="12" bestFit="1" customWidth="1"/>
    <col min="3" max="3" width="8" bestFit="1" customWidth="1"/>
    <col min="4" max="4" width="12" bestFit="1" customWidth="1"/>
    <col min="5" max="5" width="12.5703125" bestFit="1" customWidth="1"/>
    <col min="6" max="6" width="12" bestFit="1" customWidth="1"/>
    <col min="7" max="12" width="12" customWidth="1"/>
    <col min="13" max="13" width="12" hidden="1" customWidth="1"/>
    <col min="14" max="20" width="0" hidden="1" customWidth="1"/>
    <col min="21" max="28" width="9.140625" hidden="1" customWidth="1"/>
    <col min="29" max="32" width="0" hidden="1" customWidth="1"/>
    <col min="33" max="33" width="13.42578125" hidden="1" customWidth="1"/>
    <col min="34" max="34" width="14.28515625" hidden="1" customWidth="1"/>
    <col min="35" max="48" width="0" hidden="1" customWidth="1"/>
  </cols>
  <sheetData>
    <row r="1" spans="1:33" ht="17.25" x14ac:dyDescent="0.3">
      <c r="A1" s="33" t="s">
        <v>159</v>
      </c>
      <c r="B1" s="34"/>
      <c r="C1" s="190" t="s">
        <v>63</v>
      </c>
      <c r="D1" s="191"/>
      <c r="E1" s="191"/>
      <c r="F1" s="192"/>
      <c r="G1" s="21"/>
      <c r="H1" s="21"/>
      <c r="I1" s="21"/>
      <c r="J1" s="21"/>
      <c r="K1" s="21"/>
      <c r="L1" s="21"/>
      <c r="M1" t="s">
        <v>113</v>
      </c>
      <c r="N1" t="s">
        <v>112</v>
      </c>
      <c r="O1" t="s">
        <v>152</v>
      </c>
      <c r="P1" t="s">
        <v>108</v>
      </c>
      <c r="Q1" t="s">
        <v>109</v>
      </c>
      <c r="R1" t="s">
        <v>110</v>
      </c>
      <c r="S1" t="s">
        <v>111</v>
      </c>
      <c r="T1" t="s">
        <v>144</v>
      </c>
      <c r="U1" t="s">
        <v>32</v>
      </c>
      <c r="V1" t="s">
        <v>84</v>
      </c>
      <c r="W1" t="s">
        <v>321</v>
      </c>
      <c r="AB1" t="s">
        <v>145</v>
      </c>
      <c r="AC1" t="s">
        <v>148</v>
      </c>
      <c r="AE1" t="s">
        <v>322</v>
      </c>
      <c r="AG1" t="s">
        <v>321</v>
      </c>
    </row>
    <row r="2" spans="1:33" x14ac:dyDescent="0.25">
      <c r="A2" s="4" t="s">
        <v>90</v>
      </c>
      <c r="B2" s="4">
        <f>BridgeInformation!C18</f>
        <v>31</v>
      </c>
      <c r="C2" s="194" t="s">
        <v>102</v>
      </c>
      <c r="D2" s="195"/>
      <c r="E2" s="195"/>
      <c r="F2" s="196"/>
      <c r="G2" s="26"/>
      <c r="H2" s="26"/>
      <c r="I2" s="26"/>
      <c r="J2" s="26"/>
      <c r="K2" s="26"/>
      <c r="L2" s="26"/>
      <c r="M2" t="s">
        <v>116</v>
      </c>
      <c r="N2">
        <v>5</v>
      </c>
      <c r="O2" t="str">
        <f>CONCATENATE(M2,"_",N2)</f>
        <v>00_50_5</v>
      </c>
      <c r="P2">
        <v>19.71</v>
      </c>
      <c r="Q2">
        <v>0.71</v>
      </c>
      <c r="R2">
        <v>1851</v>
      </c>
      <c r="S2">
        <v>52.8</v>
      </c>
      <c r="T2">
        <f>ROUND(1/COS(RADIANS(LEFT(M2,2)*1)),3)</f>
        <v>1</v>
      </c>
      <c r="U2">
        <f>P2+Q2*B$3*T2</f>
        <v>36.75</v>
      </c>
      <c r="V2">
        <f>R2+S2*B$3*T2</f>
        <v>3118.2</v>
      </c>
      <c r="W2" s="58" t="str">
        <f>CONCATENATE(LEFT(M2,2)*1,"° Skew Variable Width Abutment ",RIGHT(M2,2),"% Skewed Wings")</f>
        <v>0° Skew Variable Width Abutment 50% Skewed Wings</v>
      </c>
      <c r="AB2">
        <v>50</v>
      </c>
      <c r="AC2">
        <v>0</v>
      </c>
      <c r="AE2" t="s">
        <v>134</v>
      </c>
      <c r="AF2">
        <v>1</v>
      </c>
      <c r="AG2" t="str">
        <f>CONCATENATE("BSA-",RIGHT(CONCATENATE("000",AF2),3)," ",LEFT(AE2,2)*1,"° Skew Variable Width Abutment ",RIGHT(AE2,2),"% Skewed Wings")</f>
        <v>BSA-001 0° Skew Variable Width Abutment 00% Skewed Wings</v>
      </c>
    </row>
    <row r="3" spans="1:33" x14ac:dyDescent="0.25">
      <c r="A3" s="4" t="s">
        <v>91</v>
      </c>
      <c r="B3" s="4">
        <f>BridgeInformation!C16</f>
        <v>24</v>
      </c>
      <c r="C3" s="184"/>
      <c r="D3" s="185"/>
      <c r="E3" s="185"/>
      <c r="F3" s="186"/>
      <c r="G3" s="22"/>
      <c r="H3" s="22"/>
      <c r="I3" s="22"/>
      <c r="J3" s="22"/>
      <c r="K3" s="22"/>
      <c r="L3" s="22"/>
      <c r="M3" t="s">
        <v>116</v>
      </c>
      <c r="N3">
        <v>6</v>
      </c>
      <c r="O3" t="str">
        <f t="shared" ref="O3:O66" si="0">CONCATENATE(M3,"_",N3)</f>
        <v>00_50_6</v>
      </c>
      <c r="P3">
        <v>21.47</v>
      </c>
      <c r="Q3">
        <v>0.78</v>
      </c>
      <c r="R3">
        <v>1851</v>
      </c>
      <c r="S3">
        <v>52.8</v>
      </c>
      <c r="T3">
        <f t="shared" ref="T3:T66" si="1">ROUND(1/COS(RADIANS(LEFT(M3,2)*1)),3)</f>
        <v>1</v>
      </c>
      <c r="U3">
        <f t="shared" ref="U3:U66" si="2">P3+Q3*B$3*T3</f>
        <v>40.19</v>
      </c>
      <c r="V3">
        <f t="shared" ref="V3:V66" si="3">R3+S3*B$3*T3</f>
        <v>3118.2</v>
      </c>
      <c r="W3" s="58" t="str">
        <f t="shared" ref="W3:W66" si="4">CONCATENATE(LEFT(M3,2)*1,"° Skew Variable Width Abutment ",RIGHT(M3,2),"% Skewed Wings")</f>
        <v>0° Skew Variable Width Abutment 50% Skewed Wings</v>
      </c>
      <c r="AB3">
        <v>25</v>
      </c>
      <c r="AC3">
        <v>5</v>
      </c>
      <c r="AE3" t="s">
        <v>124</v>
      </c>
      <c r="AF3">
        <v>3</v>
      </c>
      <c r="AG3" t="str">
        <f t="shared" ref="AG3:AG31" si="5">CONCATENATE("BSA-",RIGHT(CONCATENATE("000",AF3),3)," ",LEFT(AE3,2)*1,"° Skew Variable Width Abutment ",RIGHT(AE3,2),"% Skewed Wings")</f>
        <v>BSA-003 0° Skew Variable Width Abutment 25% Skewed Wings</v>
      </c>
    </row>
    <row r="4" spans="1:33" x14ac:dyDescent="0.25">
      <c r="A4" s="4" t="s">
        <v>92</v>
      </c>
      <c r="B4" s="12">
        <f>BridgeInformation!C15</f>
        <v>32</v>
      </c>
      <c r="C4" s="184"/>
      <c r="D4" s="185"/>
      <c r="E4" s="185"/>
      <c r="F4" s="186"/>
      <c r="G4" s="22"/>
      <c r="H4" s="22"/>
      <c r="I4" s="22"/>
      <c r="J4" s="22"/>
      <c r="K4" s="22"/>
      <c r="L4" s="22"/>
      <c r="M4" t="s">
        <v>116</v>
      </c>
      <c r="N4">
        <v>7</v>
      </c>
      <c r="O4" t="str">
        <f t="shared" si="0"/>
        <v>00_50_7</v>
      </c>
      <c r="P4">
        <v>29.09</v>
      </c>
      <c r="Q4">
        <v>0.93</v>
      </c>
      <c r="R4">
        <v>2651</v>
      </c>
      <c r="S4">
        <v>68.7</v>
      </c>
      <c r="T4">
        <f t="shared" si="1"/>
        <v>1</v>
      </c>
      <c r="U4">
        <f t="shared" si="2"/>
        <v>51.41</v>
      </c>
      <c r="V4">
        <f t="shared" si="3"/>
        <v>4299.8</v>
      </c>
      <c r="W4" s="58" t="str">
        <f t="shared" si="4"/>
        <v>0° Skew Variable Width Abutment 50% Skewed Wings</v>
      </c>
      <c r="AB4" t="s">
        <v>146</v>
      </c>
      <c r="AC4">
        <v>10</v>
      </c>
      <c r="AE4" t="s">
        <v>116</v>
      </c>
      <c r="AF4">
        <v>5</v>
      </c>
      <c r="AG4" t="str">
        <f t="shared" si="5"/>
        <v>BSA-005 0° Skew Variable Width Abutment 50% Skewed Wings</v>
      </c>
    </row>
    <row r="5" spans="1:33" x14ac:dyDescent="0.25">
      <c r="A5" s="4" t="s">
        <v>156</v>
      </c>
      <c r="B5" s="4">
        <f>ROUND(BridgeInformation!C19/5,0)*5</f>
        <v>15</v>
      </c>
      <c r="C5" s="184"/>
      <c r="D5" s="185"/>
      <c r="E5" s="185"/>
      <c r="F5" s="186"/>
      <c r="G5" s="22"/>
      <c r="H5" s="22"/>
      <c r="I5" s="22"/>
      <c r="J5" s="22"/>
      <c r="K5" s="22"/>
      <c r="L5" s="22"/>
      <c r="M5" t="s">
        <v>116</v>
      </c>
      <c r="N5">
        <v>8</v>
      </c>
      <c r="O5" t="str">
        <f t="shared" si="0"/>
        <v>00_50_8</v>
      </c>
      <c r="P5">
        <v>21.15</v>
      </c>
      <c r="Q5">
        <v>1.01</v>
      </c>
      <c r="R5">
        <v>2651</v>
      </c>
      <c r="S5">
        <v>68.7</v>
      </c>
      <c r="T5">
        <f t="shared" si="1"/>
        <v>1</v>
      </c>
      <c r="U5">
        <f t="shared" si="2"/>
        <v>45.39</v>
      </c>
      <c r="V5">
        <f t="shared" si="3"/>
        <v>4299.8</v>
      </c>
      <c r="W5" s="58" t="str">
        <f t="shared" si="4"/>
        <v>0° Skew Variable Width Abutment 50% Skewed Wings</v>
      </c>
      <c r="AC5">
        <v>15</v>
      </c>
      <c r="AE5" t="s">
        <v>135</v>
      </c>
      <c r="AF5">
        <v>7</v>
      </c>
      <c r="AG5" t="str">
        <f t="shared" si="5"/>
        <v>BSA-007 5° Skew Variable Width Abutment 00% Skewed Wings</v>
      </c>
    </row>
    <row r="6" spans="1:33" x14ac:dyDescent="0.25">
      <c r="A6" s="4" t="s">
        <v>155</v>
      </c>
      <c r="B6" s="12">
        <f>BridgeInformation!I30</f>
        <v>50</v>
      </c>
      <c r="C6" s="184"/>
      <c r="D6" s="185"/>
      <c r="E6" s="185"/>
      <c r="F6" s="186"/>
      <c r="G6" s="22"/>
      <c r="H6" s="22"/>
      <c r="I6" s="22"/>
      <c r="J6" s="22"/>
      <c r="K6" s="22"/>
      <c r="L6" s="22"/>
      <c r="M6" t="s">
        <v>116</v>
      </c>
      <c r="N6">
        <v>9</v>
      </c>
      <c r="O6" t="str">
        <f t="shared" si="0"/>
        <v>00_50_9</v>
      </c>
      <c r="P6">
        <v>46.58</v>
      </c>
      <c r="Q6">
        <v>1.19</v>
      </c>
      <c r="R6">
        <v>4307</v>
      </c>
      <c r="S6">
        <v>91</v>
      </c>
      <c r="T6">
        <f t="shared" si="1"/>
        <v>1</v>
      </c>
      <c r="U6">
        <f t="shared" si="2"/>
        <v>75.14</v>
      </c>
      <c r="V6">
        <f t="shared" si="3"/>
        <v>6491</v>
      </c>
      <c r="W6" s="58" t="str">
        <f t="shared" si="4"/>
        <v>0° Skew Variable Width Abutment 50% Skewed Wings</v>
      </c>
      <c r="AC6">
        <v>20</v>
      </c>
      <c r="AE6" t="s">
        <v>125</v>
      </c>
      <c r="AF6">
        <v>9</v>
      </c>
      <c r="AG6" t="str">
        <f t="shared" si="5"/>
        <v>BSA-009 5° Skew Variable Width Abutment 25% Skewed Wings</v>
      </c>
    </row>
    <row r="7" spans="1:33" x14ac:dyDescent="0.25">
      <c r="A7" s="4" t="s">
        <v>401</v>
      </c>
      <c r="B7" s="12">
        <f>BridgeInformation!C23</f>
        <v>10</v>
      </c>
      <c r="C7" s="184"/>
      <c r="D7" s="185"/>
      <c r="E7" s="185"/>
      <c r="F7" s="186"/>
      <c r="G7" s="22"/>
      <c r="H7" s="22"/>
      <c r="I7" s="22"/>
      <c r="J7" s="22"/>
      <c r="K7" s="22"/>
      <c r="L7" s="22"/>
      <c r="M7" t="s">
        <v>116</v>
      </c>
      <c r="N7">
        <v>10</v>
      </c>
      <c r="O7" t="str">
        <f t="shared" si="0"/>
        <v>00_50_10</v>
      </c>
      <c r="P7">
        <v>49.23</v>
      </c>
      <c r="Q7">
        <v>1.27</v>
      </c>
      <c r="R7">
        <v>4307</v>
      </c>
      <c r="S7">
        <v>91</v>
      </c>
      <c r="T7">
        <f t="shared" si="1"/>
        <v>1</v>
      </c>
      <c r="U7">
        <f t="shared" si="2"/>
        <v>79.709999999999994</v>
      </c>
      <c r="V7">
        <f t="shared" si="3"/>
        <v>6491</v>
      </c>
      <c r="W7" s="58" t="str">
        <f t="shared" si="4"/>
        <v>0° Skew Variable Width Abutment 50% Skewed Wings</v>
      </c>
      <c r="AC7">
        <v>25</v>
      </c>
      <c r="AE7" t="s">
        <v>114</v>
      </c>
      <c r="AF7">
        <v>11</v>
      </c>
      <c r="AG7" t="str">
        <f t="shared" si="5"/>
        <v>BSA-011 5° Skew Variable Width Abutment 50% Skewed Wings</v>
      </c>
    </row>
    <row r="8" spans="1:33" x14ac:dyDescent="0.25">
      <c r="A8" s="4" t="s">
        <v>153</v>
      </c>
      <c r="B8" s="16">
        <f>MAX(5,ROUNDUP(B7+2,0))</f>
        <v>12</v>
      </c>
      <c r="C8" s="177" t="s">
        <v>157</v>
      </c>
      <c r="D8" s="178"/>
      <c r="E8" s="178"/>
      <c r="F8" s="179"/>
      <c r="G8" s="26"/>
      <c r="H8" s="26"/>
      <c r="I8" s="26"/>
      <c r="J8" s="26"/>
      <c r="K8" s="26"/>
      <c r="L8" s="26"/>
      <c r="M8" t="s">
        <v>116</v>
      </c>
      <c r="N8">
        <v>11</v>
      </c>
      <c r="O8" t="str">
        <f t="shared" si="0"/>
        <v>00_50_11</v>
      </c>
      <c r="P8">
        <v>60.56</v>
      </c>
      <c r="Q8">
        <v>1.41</v>
      </c>
      <c r="R8">
        <v>6117</v>
      </c>
      <c r="S8">
        <v>120.4</v>
      </c>
      <c r="T8">
        <f t="shared" si="1"/>
        <v>1</v>
      </c>
      <c r="U8">
        <f t="shared" si="2"/>
        <v>94.4</v>
      </c>
      <c r="V8">
        <f t="shared" si="3"/>
        <v>9006.6</v>
      </c>
      <c r="W8" s="58" t="str">
        <f t="shared" si="4"/>
        <v>0° Skew Variable Width Abutment 50% Skewed Wings</v>
      </c>
      <c r="AC8">
        <v>30</v>
      </c>
      <c r="AE8" t="s">
        <v>136</v>
      </c>
      <c r="AF8">
        <v>13</v>
      </c>
      <c r="AG8" t="str">
        <f t="shared" si="5"/>
        <v>BSA-013 10° Skew Variable Width Abutment 00% Skewed Wings</v>
      </c>
    </row>
    <row r="9" spans="1:33" hidden="1" x14ac:dyDescent="0.25">
      <c r="A9" s="4" t="s">
        <v>149</v>
      </c>
      <c r="B9" s="4" t="str">
        <f>RIGHT(CONCATENATE("0",B5),2)</f>
        <v>15</v>
      </c>
      <c r="C9" s="177" t="s">
        <v>154</v>
      </c>
      <c r="D9" s="178"/>
      <c r="E9" s="178"/>
      <c r="F9" s="179"/>
      <c r="G9" s="26"/>
      <c r="H9" s="26"/>
      <c r="I9" s="26"/>
      <c r="J9" s="26"/>
      <c r="K9" s="26"/>
      <c r="L9" s="26"/>
      <c r="M9" t="s">
        <v>116</v>
      </c>
      <c r="N9">
        <v>12</v>
      </c>
      <c r="O9" t="str">
        <f t="shared" si="0"/>
        <v>00_50_12</v>
      </c>
      <c r="P9">
        <v>63.5</v>
      </c>
      <c r="Q9">
        <v>1.49</v>
      </c>
      <c r="R9">
        <v>6117</v>
      </c>
      <c r="S9">
        <v>120.4</v>
      </c>
      <c r="T9">
        <f t="shared" si="1"/>
        <v>1</v>
      </c>
      <c r="U9">
        <f t="shared" si="2"/>
        <v>99.259999999999991</v>
      </c>
      <c r="V9">
        <f t="shared" si="3"/>
        <v>9006.6</v>
      </c>
      <c r="W9" s="58" t="str">
        <f t="shared" si="4"/>
        <v>0° Skew Variable Width Abutment 50% Skewed Wings</v>
      </c>
      <c r="AC9">
        <v>35</v>
      </c>
      <c r="AE9" t="s">
        <v>126</v>
      </c>
      <c r="AF9">
        <v>15</v>
      </c>
      <c r="AG9" t="str">
        <f t="shared" si="5"/>
        <v>BSA-015 10° Skew Variable Width Abutment 25% Skewed Wings</v>
      </c>
    </row>
    <row r="10" spans="1:33" hidden="1" x14ac:dyDescent="0.25">
      <c r="A10" s="4" t="s">
        <v>150</v>
      </c>
      <c r="B10" s="4">
        <f>IF(B6="Parallel","00",B6)</f>
        <v>50</v>
      </c>
      <c r="C10" s="177" t="s">
        <v>154</v>
      </c>
      <c r="D10" s="178"/>
      <c r="E10" s="178"/>
      <c r="F10" s="179"/>
      <c r="G10" s="26"/>
      <c r="H10" s="26"/>
      <c r="I10" s="26"/>
      <c r="J10" s="26"/>
      <c r="K10" s="26"/>
      <c r="L10" s="26"/>
      <c r="M10" t="s">
        <v>116</v>
      </c>
      <c r="N10">
        <v>13</v>
      </c>
      <c r="O10" t="str">
        <f t="shared" si="0"/>
        <v>00_50_13</v>
      </c>
      <c r="P10">
        <v>76.319999999999993</v>
      </c>
      <c r="Q10">
        <v>1.64</v>
      </c>
      <c r="R10">
        <v>8656</v>
      </c>
      <c r="S10">
        <v>161</v>
      </c>
      <c r="T10">
        <f t="shared" si="1"/>
        <v>1</v>
      </c>
      <c r="U10">
        <f t="shared" si="2"/>
        <v>115.67999999999999</v>
      </c>
      <c r="V10">
        <f t="shared" si="3"/>
        <v>12520</v>
      </c>
      <c r="W10" s="58" t="str">
        <f t="shared" si="4"/>
        <v>0° Skew Variable Width Abutment 50% Skewed Wings</v>
      </c>
      <c r="AC10">
        <v>40</v>
      </c>
      <c r="AE10" t="s">
        <v>115</v>
      </c>
      <c r="AF10">
        <v>17</v>
      </c>
      <c r="AG10" t="str">
        <f t="shared" si="5"/>
        <v>BSA-017 10° Skew Variable Width Abutment 50% Skewed Wings</v>
      </c>
    </row>
    <row r="11" spans="1:33" hidden="1" x14ac:dyDescent="0.25">
      <c r="A11" s="4" t="s">
        <v>151</v>
      </c>
      <c r="B11" s="4" t="str">
        <f>CONCATENATE(B9,"_",B10,"_",B8)</f>
        <v>15_50_12</v>
      </c>
      <c r="C11" s="180" t="s">
        <v>154</v>
      </c>
      <c r="D11" s="181"/>
      <c r="E11" s="181"/>
      <c r="F11" s="182"/>
      <c r="G11" s="26"/>
      <c r="H11" s="26"/>
      <c r="I11" s="26"/>
      <c r="J11" s="26"/>
      <c r="K11" s="26"/>
      <c r="L11" s="26"/>
      <c r="M11" t="s">
        <v>116</v>
      </c>
      <c r="N11">
        <v>14</v>
      </c>
      <c r="O11" t="str">
        <f t="shared" si="0"/>
        <v>00_50_14</v>
      </c>
      <c r="P11">
        <v>79.56</v>
      </c>
      <c r="Q11">
        <v>1.71</v>
      </c>
      <c r="R11">
        <v>8656</v>
      </c>
      <c r="S11">
        <v>161</v>
      </c>
      <c r="T11">
        <f t="shared" si="1"/>
        <v>1</v>
      </c>
      <c r="U11">
        <f t="shared" si="2"/>
        <v>120.6</v>
      </c>
      <c r="V11">
        <f t="shared" si="3"/>
        <v>12520</v>
      </c>
      <c r="W11" s="58" t="str">
        <f t="shared" si="4"/>
        <v>0° Skew Variable Width Abutment 50% Skewed Wings</v>
      </c>
      <c r="AC11">
        <v>45</v>
      </c>
      <c r="AE11" t="s">
        <v>137</v>
      </c>
      <c r="AF11">
        <v>19</v>
      </c>
      <c r="AG11" t="str">
        <f t="shared" si="5"/>
        <v>BSA-019 15° Skew Variable Width Abutment 00% Skewed Wings</v>
      </c>
    </row>
    <row r="12" spans="1:33" x14ac:dyDescent="0.25">
      <c r="M12" t="s">
        <v>116</v>
      </c>
      <c r="N12">
        <v>15</v>
      </c>
      <c r="O12" t="str">
        <f t="shared" si="0"/>
        <v>00_50_15</v>
      </c>
      <c r="P12">
        <v>97.76</v>
      </c>
      <c r="Q12">
        <v>1.86</v>
      </c>
      <c r="R12">
        <v>11857</v>
      </c>
      <c r="S12">
        <v>198.6</v>
      </c>
      <c r="T12">
        <f t="shared" si="1"/>
        <v>1</v>
      </c>
      <c r="U12">
        <f t="shared" si="2"/>
        <v>142.4</v>
      </c>
      <c r="V12">
        <f t="shared" si="3"/>
        <v>16623.400000000001</v>
      </c>
      <c r="W12" s="58" t="str">
        <f t="shared" si="4"/>
        <v>0° Skew Variable Width Abutment 50% Skewed Wings</v>
      </c>
      <c r="AE12" t="s">
        <v>127</v>
      </c>
      <c r="AF12">
        <v>21</v>
      </c>
      <c r="AG12" t="str">
        <f t="shared" si="5"/>
        <v>BSA-021 15° Skew Variable Width Abutment 25% Skewed Wings</v>
      </c>
    </row>
    <row r="13" spans="1:33" x14ac:dyDescent="0.25">
      <c r="M13" t="s">
        <v>116</v>
      </c>
      <c r="N13">
        <v>16</v>
      </c>
      <c r="O13" t="str">
        <f t="shared" si="0"/>
        <v>00_50_16</v>
      </c>
      <c r="P13">
        <v>101.44</v>
      </c>
      <c r="Q13">
        <v>1.96</v>
      </c>
      <c r="R13">
        <v>11857</v>
      </c>
      <c r="S13">
        <v>198.6</v>
      </c>
      <c r="T13">
        <f t="shared" si="1"/>
        <v>1</v>
      </c>
      <c r="U13">
        <f t="shared" si="2"/>
        <v>148.47999999999999</v>
      </c>
      <c r="V13">
        <f t="shared" si="3"/>
        <v>16623.400000000001</v>
      </c>
      <c r="W13" s="58" t="str">
        <f t="shared" si="4"/>
        <v>0° Skew Variable Width Abutment 50% Skewed Wings</v>
      </c>
      <c r="AE13" t="s">
        <v>117</v>
      </c>
      <c r="AF13">
        <v>23</v>
      </c>
      <c r="AG13" t="str">
        <f t="shared" si="5"/>
        <v>BSA-023 15° Skew Variable Width Abutment 50% Skewed Wings</v>
      </c>
    </row>
    <row r="14" spans="1:33" ht="15.75" x14ac:dyDescent="0.25">
      <c r="A14" s="7" t="s">
        <v>33</v>
      </c>
      <c r="B14" s="7" t="s">
        <v>31</v>
      </c>
      <c r="C14" s="7" t="s">
        <v>29</v>
      </c>
      <c r="D14" s="7" t="s">
        <v>34</v>
      </c>
      <c r="E14" s="7" t="s">
        <v>35</v>
      </c>
      <c r="M14" t="s">
        <v>114</v>
      </c>
      <c r="N14">
        <v>5</v>
      </c>
      <c r="O14" t="str">
        <f t="shared" si="0"/>
        <v>05_50_5</v>
      </c>
      <c r="P14">
        <v>18.920000000000002</v>
      </c>
      <c r="Q14">
        <v>0.71</v>
      </c>
      <c r="R14">
        <v>1785</v>
      </c>
      <c r="S14">
        <v>52.8</v>
      </c>
      <c r="T14">
        <f t="shared" si="1"/>
        <v>1.004</v>
      </c>
      <c r="U14">
        <f t="shared" si="2"/>
        <v>36.02816</v>
      </c>
      <c r="V14">
        <f t="shared" si="3"/>
        <v>3057.2687999999998</v>
      </c>
      <c r="W14" s="58" t="str">
        <f t="shared" si="4"/>
        <v>5° Skew Variable Width Abutment 50% Skewed Wings</v>
      </c>
      <c r="AE14" t="s">
        <v>138</v>
      </c>
      <c r="AF14">
        <v>25</v>
      </c>
      <c r="AG14" t="str">
        <f t="shared" si="5"/>
        <v>BSA-025 20° Skew Variable Width Abutment 00% Skewed Wings</v>
      </c>
    </row>
    <row r="15" spans="1:33" x14ac:dyDescent="0.25">
      <c r="A15" s="4" t="s">
        <v>362</v>
      </c>
      <c r="B15" s="12">
        <f>VLOOKUP(B11,O$2:V$361,7,FALSE)</f>
        <v>100.88159999999999</v>
      </c>
      <c r="C15" s="28" t="s">
        <v>32</v>
      </c>
      <c r="D15" s="8">
        <v>1300</v>
      </c>
      <c r="E15" s="10">
        <f>D15*B15</f>
        <v>131146.07999999999</v>
      </c>
      <c r="M15" t="s">
        <v>114</v>
      </c>
      <c r="N15">
        <v>6</v>
      </c>
      <c r="O15" t="str">
        <f t="shared" si="0"/>
        <v>05_50_6</v>
      </c>
      <c r="P15">
        <v>20.61</v>
      </c>
      <c r="Q15">
        <v>0.78</v>
      </c>
      <c r="R15">
        <v>1785</v>
      </c>
      <c r="S15">
        <v>52.8</v>
      </c>
      <c r="T15">
        <f t="shared" si="1"/>
        <v>1.004</v>
      </c>
      <c r="U15">
        <f t="shared" si="2"/>
        <v>39.404879999999999</v>
      </c>
      <c r="V15">
        <f t="shared" si="3"/>
        <v>3057.2687999999998</v>
      </c>
      <c r="W15" s="58" t="str">
        <f t="shared" si="4"/>
        <v>5° Skew Variable Width Abutment 50% Skewed Wings</v>
      </c>
      <c r="AE15" t="s">
        <v>128</v>
      </c>
      <c r="AF15">
        <v>27</v>
      </c>
      <c r="AG15" t="str">
        <f t="shared" si="5"/>
        <v>BSA-027 20° Skew Variable Width Abutment 25% Skewed Wings</v>
      </c>
    </row>
    <row r="16" spans="1:33" x14ac:dyDescent="0.25">
      <c r="A16" s="4" t="s">
        <v>36</v>
      </c>
      <c r="B16" s="9">
        <f>VLOOKUP(B11,O$2:V$361,8,FALSE)</f>
        <v>9123.7360000000008</v>
      </c>
      <c r="C16" s="28" t="s">
        <v>158</v>
      </c>
      <c r="D16" s="8">
        <v>2.0299999999999998</v>
      </c>
      <c r="E16" s="10">
        <f>D16*B16</f>
        <v>18521.184079999999</v>
      </c>
      <c r="M16" t="s">
        <v>114</v>
      </c>
      <c r="N16">
        <v>7</v>
      </c>
      <c r="O16" t="str">
        <f t="shared" si="0"/>
        <v>05_50_7</v>
      </c>
      <c r="P16">
        <v>28.09</v>
      </c>
      <c r="Q16">
        <v>0.93</v>
      </c>
      <c r="R16">
        <v>2590</v>
      </c>
      <c r="S16">
        <v>68.7</v>
      </c>
      <c r="T16">
        <f t="shared" si="1"/>
        <v>1.004</v>
      </c>
      <c r="U16">
        <f t="shared" si="2"/>
        <v>50.499279999999999</v>
      </c>
      <c r="V16">
        <f t="shared" si="3"/>
        <v>4245.3951999999999</v>
      </c>
      <c r="W16" s="58" t="str">
        <f t="shared" si="4"/>
        <v>5° Skew Variable Width Abutment 50% Skewed Wings</v>
      </c>
      <c r="AE16" t="s">
        <v>118</v>
      </c>
      <c r="AF16">
        <v>29</v>
      </c>
      <c r="AG16" t="str">
        <f t="shared" si="5"/>
        <v>BSA-029 20° Skew Variable Width Abutment 50% Skewed Wings</v>
      </c>
    </row>
    <row r="17" spans="1:33" x14ac:dyDescent="0.25">
      <c r="A17" s="4" t="s">
        <v>42</v>
      </c>
      <c r="B17" s="4">
        <v>1</v>
      </c>
      <c r="C17" s="28" t="s">
        <v>47</v>
      </c>
      <c r="D17" s="8">
        <v>40000</v>
      </c>
      <c r="E17" s="10">
        <f t="shared" ref="E17:E18" si="6">D17*B17</f>
        <v>40000</v>
      </c>
      <c r="M17" t="s">
        <v>114</v>
      </c>
      <c r="N17">
        <v>8</v>
      </c>
      <c r="O17" t="str">
        <f t="shared" si="0"/>
        <v>05_50_8</v>
      </c>
      <c r="P17">
        <v>30.07</v>
      </c>
      <c r="Q17">
        <v>1.01</v>
      </c>
      <c r="R17">
        <v>2590</v>
      </c>
      <c r="S17">
        <v>68.7</v>
      </c>
      <c r="T17">
        <f t="shared" si="1"/>
        <v>1.004</v>
      </c>
      <c r="U17">
        <f t="shared" si="2"/>
        <v>54.406959999999998</v>
      </c>
      <c r="V17">
        <f t="shared" si="3"/>
        <v>4245.3951999999999</v>
      </c>
      <c r="W17" s="58" t="str">
        <f t="shared" si="4"/>
        <v>5° Skew Variable Width Abutment 50% Skewed Wings</v>
      </c>
      <c r="AE17" t="s">
        <v>139</v>
      </c>
      <c r="AF17">
        <v>31</v>
      </c>
      <c r="AG17" t="str">
        <f t="shared" si="5"/>
        <v>BSA-031 25° Skew Variable Width Abutment 00% Skewed Wings</v>
      </c>
    </row>
    <row r="18" spans="1:33" x14ac:dyDescent="0.25">
      <c r="A18" s="4" t="s">
        <v>147</v>
      </c>
      <c r="B18" s="4"/>
      <c r="C18" s="28" t="s">
        <v>76</v>
      </c>
      <c r="D18" s="8">
        <v>54.77</v>
      </c>
      <c r="E18" s="10">
        <f t="shared" si="6"/>
        <v>0</v>
      </c>
      <c r="M18" t="s">
        <v>114</v>
      </c>
      <c r="N18">
        <v>9</v>
      </c>
      <c r="O18" t="str">
        <f t="shared" si="0"/>
        <v>05_50_9</v>
      </c>
      <c r="P18">
        <v>45.33</v>
      </c>
      <c r="Q18">
        <v>1.19</v>
      </c>
      <c r="R18">
        <v>4204</v>
      </c>
      <c r="S18">
        <v>91</v>
      </c>
      <c r="T18">
        <f t="shared" si="1"/>
        <v>1.004</v>
      </c>
      <c r="U18">
        <f t="shared" si="2"/>
        <v>74.004239999999996</v>
      </c>
      <c r="V18">
        <f t="shared" si="3"/>
        <v>6396.7359999999999</v>
      </c>
      <c r="W18" s="58" t="str">
        <f t="shared" si="4"/>
        <v>5° Skew Variable Width Abutment 50% Skewed Wings</v>
      </c>
      <c r="AE18" t="s">
        <v>129</v>
      </c>
      <c r="AF18">
        <v>33</v>
      </c>
      <c r="AG18" t="str">
        <f t="shared" si="5"/>
        <v>BSA-033 25° Skew Variable Width Abutment 25% Skewed Wings</v>
      </c>
    </row>
    <row r="19" spans="1:33" x14ac:dyDescent="0.25">
      <c r="A19" s="5" t="s">
        <v>48</v>
      </c>
      <c r="B19" s="112" t="s">
        <v>435</v>
      </c>
      <c r="C19" s="112" t="s">
        <v>435</v>
      </c>
      <c r="D19" s="112" t="s">
        <v>435</v>
      </c>
      <c r="E19" s="11">
        <f>SUM(E15:E17)</f>
        <v>189667.26407999999</v>
      </c>
      <c r="M19" t="s">
        <v>114</v>
      </c>
      <c r="N19">
        <v>10</v>
      </c>
      <c r="O19" t="str">
        <f t="shared" si="0"/>
        <v>05_50_10</v>
      </c>
      <c r="P19">
        <v>47.9</v>
      </c>
      <c r="Q19">
        <v>1.27</v>
      </c>
      <c r="R19">
        <v>4204</v>
      </c>
      <c r="S19">
        <v>91</v>
      </c>
      <c r="T19">
        <f t="shared" si="1"/>
        <v>1.004</v>
      </c>
      <c r="U19">
        <f t="shared" si="2"/>
        <v>78.501919999999998</v>
      </c>
      <c r="V19">
        <f t="shared" si="3"/>
        <v>6396.7359999999999</v>
      </c>
      <c r="W19" s="58" t="str">
        <f t="shared" si="4"/>
        <v>5° Skew Variable Width Abutment 50% Skewed Wings</v>
      </c>
      <c r="AE19" t="s">
        <v>119</v>
      </c>
      <c r="AF19">
        <v>35</v>
      </c>
      <c r="AG19" t="str">
        <f t="shared" si="5"/>
        <v>BSA-035 25° Skew Variable Width Abutment 50% Skewed Wings</v>
      </c>
    </row>
    <row r="20" spans="1:33" x14ac:dyDescent="0.25">
      <c r="M20" t="s">
        <v>114</v>
      </c>
      <c r="N20">
        <v>11</v>
      </c>
      <c r="O20" t="str">
        <f t="shared" si="0"/>
        <v>05_50_11</v>
      </c>
      <c r="P20">
        <v>59.09</v>
      </c>
      <c r="Q20">
        <v>1.41</v>
      </c>
      <c r="R20">
        <v>5983</v>
      </c>
      <c r="S20">
        <v>120.4</v>
      </c>
      <c r="T20">
        <f t="shared" si="1"/>
        <v>1.004</v>
      </c>
      <c r="U20">
        <f t="shared" si="2"/>
        <v>93.065359999999998</v>
      </c>
      <c r="V20">
        <f t="shared" si="3"/>
        <v>8884.1584000000003</v>
      </c>
      <c r="W20" s="58" t="str">
        <f t="shared" si="4"/>
        <v>5° Skew Variable Width Abutment 50% Skewed Wings</v>
      </c>
      <c r="AE20" t="s">
        <v>140</v>
      </c>
      <c r="AF20">
        <v>37</v>
      </c>
      <c r="AG20" t="str">
        <f t="shared" si="5"/>
        <v>BSA-037 30° Skew Variable Width Abutment 00% Skewed Wings</v>
      </c>
    </row>
    <row r="21" spans="1:33" x14ac:dyDescent="0.25">
      <c r="M21" t="s">
        <v>114</v>
      </c>
      <c r="N21">
        <v>12</v>
      </c>
      <c r="O21" t="str">
        <f t="shared" si="0"/>
        <v>05_50_12</v>
      </c>
      <c r="P21">
        <v>61.96</v>
      </c>
      <c r="Q21">
        <v>1.49</v>
      </c>
      <c r="R21">
        <v>5983</v>
      </c>
      <c r="S21">
        <v>120.4</v>
      </c>
      <c r="T21">
        <f t="shared" si="1"/>
        <v>1.004</v>
      </c>
      <c r="U21">
        <f t="shared" si="2"/>
        <v>97.863039999999998</v>
      </c>
      <c r="V21">
        <f t="shared" si="3"/>
        <v>8884.1584000000003</v>
      </c>
      <c r="W21" s="58" t="str">
        <f t="shared" si="4"/>
        <v>5° Skew Variable Width Abutment 50% Skewed Wings</v>
      </c>
      <c r="AE21" t="s">
        <v>130</v>
      </c>
      <c r="AF21">
        <v>39</v>
      </c>
      <c r="AG21" t="str">
        <f t="shared" si="5"/>
        <v>BSA-039 30° Skew Variable Width Abutment 25% Skewed Wings</v>
      </c>
    </row>
    <row r="22" spans="1:33" ht="17.25" x14ac:dyDescent="0.3">
      <c r="A22" s="201" t="s">
        <v>278</v>
      </c>
      <c r="B22" s="202"/>
      <c r="M22" t="s">
        <v>114</v>
      </c>
      <c r="N22">
        <v>13</v>
      </c>
      <c r="O22" t="str">
        <f t="shared" si="0"/>
        <v>05_50_13</v>
      </c>
      <c r="P22">
        <v>76.36</v>
      </c>
      <c r="Q22">
        <v>1.64</v>
      </c>
      <c r="R22">
        <v>8660</v>
      </c>
      <c r="S22">
        <v>161</v>
      </c>
      <c r="T22">
        <f t="shared" si="1"/>
        <v>1.004</v>
      </c>
      <c r="U22">
        <f t="shared" si="2"/>
        <v>115.87744000000001</v>
      </c>
      <c r="V22">
        <f t="shared" si="3"/>
        <v>12539.456</v>
      </c>
      <c r="W22" s="58" t="str">
        <f t="shared" si="4"/>
        <v>5° Skew Variable Width Abutment 50% Skewed Wings</v>
      </c>
      <c r="AE22" t="s">
        <v>120</v>
      </c>
      <c r="AF22">
        <v>41</v>
      </c>
      <c r="AG22" t="str">
        <f t="shared" si="5"/>
        <v>BSA-041 30° Skew Variable Width Abutment 50% Skewed Wings</v>
      </c>
    </row>
    <row r="23" spans="1:33" ht="15.75" x14ac:dyDescent="0.25">
      <c r="A23" s="203" t="s">
        <v>283</v>
      </c>
      <c r="B23" s="203"/>
      <c r="M23" t="s">
        <v>114</v>
      </c>
      <c r="N23">
        <v>14</v>
      </c>
      <c r="O23" t="str">
        <f t="shared" si="0"/>
        <v>05_50_14</v>
      </c>
      <c r="P23">
        <v>79.599999999999994</v>
      </c>
      <c r="Q23">
        <v>1.71</v>
      </c>
      <c r="R23">
        <v>8660</v>
      </c>
      <c r="S23">
        <v>161</v>
      </c>
      <c r="T23">
        <f t="shared" si="1"/>
        <v>1.004</v>
      </c>
      <c r="U23">
        <f t="shared" si="2"/>
        <v>120.80416</v>
      </c>
      <c r="V23">
        <f t="shared" si="3"/>
        <v>12539.456</v>
      </c>
      <c r="W23" s="58" t="str">
        <f t="shared" si="4"/>
        <v>5° Skew Variable Width Abutment 50% Skewed Wings</v>
      </c>
      <c r="AE23" t="s">
        <v>141</v>
      </c>
      <c r="AF23">
        <v>43</v>
      </c>
      <c r="AG23" t="str">
        <f t="shared" si="5"/>
        <v>BSA-043 35° Skew Variable Width Abutment 00% Skewed Wings</v>
      </c>
    </row>
    <row r="24" spans="1:33" x14ac:dyDescent="0.25">
      <c r="A24" s="54" t="str">
        <f>VLOOKUP(LEFT(B11,5),AE2:AG31,3,FALSE)</f>
        <v>BSA-023 15° Skew Variable Width Abutment 50% Skewed Wings</v>
      </c>
      <c r="M24" t="s">
        <v>114</v>
      </c>
      <c r="N24">
        <v>15</v>
      </c>
      <c r="O24" t="str">
        <f t="shared" si="0"/>
        <v>05_50_15</v>
      </c>
      <c r="P24">
        <v>97.81</v>
      </c>
      <c r="Q24">
        <v>1.86</v>
      </c>
      <c r="R24">
        <v>11856</v>
      </c>
      <c r="S24">
        <v>198.6</v>
      </c>
      <c r="T24">
        <f t="shared" si="1"/>
        <v>1.004</v>
      </c>
      <c r="U24">
        <f t="shared" si="2"/>
        <v>142.62855999999999</v>
      </c>
      <c r="V24">
        <f t="shared" si="3"/>
        <v>16641.4656</v>
      </c>
      <c r="W24" s="58" t="str">
        <f t="shared" si="4"/>
        <v>5° Skew Variable Width Abutment 50% Skewed Wings</v>
      </c>
      <c r="AE24" t="s">
        <v>131</v>
      </c>
      <c r="AF24">
        <v>45</v>
      </c>
      <c r="AG24" t="str">
        <f t="shared" si="5"/>
        <v>BSA-045 35° Skew Variable Width Abutment 25% Skewed Wings</v>
      </c>
    </row>
    <row r="25" spans="1:33" x14ac:dyDescent="0.25">
      <c r="A25" s="54" t="str">
        <f>VLOOKUP(LEFT(B11,5),AE34:AG63,3,FALSE)</f>
        <v>BSA-024 15° Skew Variable Width Abutment 50% Skewed Wings</v>
      </c>
      <c r="M25" t="s">
        <v>114</v>
      </c>
      <c r="N25">
        <v>16</v>
      </c>
      <c r="O25" t="str">
        <f t="shared" si="0"/>
        <v>05_50_16</v>
      </c>
      <c r="P25">
        <v>101.5</v>
      </c>
      <c r="Q25">
        <v>1.93</v>
      </c>
      <c r="R25">
        <v>11856</v>
      </c>
      <c r="S25">
        <v>198.6</v>
      </c>
      <c r="T25">
        <f t="shared" si="1"/>
        <v>1.004</v>
      </c>
      <c r="U25">
        <f t="shared" si="2"/>
        <v>148.00528</v>
      </c>
      <c r="V25">
        <f t="shared" si="3"/>
        <v>16641.4656</v>
      </c>
      <c r="W25" s="58" t="str">
        <f t="shared" si="4"/>
        <v>5° Skew Variable Width Abutment 50% Skewed Wings</v>
      </c>
      <c r="AE25" t="s">
        <v>121</v>
      </c>
      <c r="AF25">
        <v>47</v>
      </c>
      <c r="AG25" t="str">
        <f t="shared" si="5"/>
        <v>BSA-047 35° Skew Variable Width Abutment 50% Skewed Wings</v>
      </c>
    </row>
    <row r="26" spans="1:33" x14ac:dyDescent="0.25">
      <c r="M26" t="s">
        <v>115</v>
      </c>
      <c r="N26">
        <v>5</v>
      </c>
      <c r="O26" t="str">
        <f t="shared" si="0"/>
        <v>10_50_5</v>
      </c>
      <c r="P26">
        <v>18.989999999999998</v>
      </c>
      <c r="Q26">
        <v>0.71</v>
      </c>
      <c r="R26">
        <v>1788</v>
      </c>
      <c r="S26">
        <v>52.8</v>
      </c>
      <c r="T26">
        <f t="shared" si="1"/>
        <v>1.0149999999999999</v>
      </c>
      <c r="U26">
        <f t="shared" si="2"/>
        <v>36.285599999999995</v>
      </c>
      <c r="V26">
        <f t="shared" si="3"/>
        <v>3074.2079999999996</v>
      </c>
      <c r="W26" s="58" t="str">
        <f t="shared" si="4"/>
        <v>10° Skew Variable Width Abutment 50% Skewed Wings</v>
      </c>
      <c r="AE26" t="s">
        <v>142</v>
      </c>
      <c r="AF26">
        <v>49</v>
      </c>
      <c r="AG26" t="str">
        <f t="shared" si="5"/>
        <v>BSA-049 40° Skew Variable Width Abutment 00% Skewed Wings</v>
      </c>
    </row>
    <row r="27" spans="1:33" x14ac:dyDescent="0.25">
      <c r="M27" t="s">
        <v>115</v>
      </c>
      <c r="N27">
        <v>6</v>
      </c>
      <c r="O27" t="str">
        <f t="shared" si="0"/>
        <v>10_50_6</v>
      </c>
      <c r="P27">
        <v>20.68</v>
      </c>
      <c r="Q27">
        <v>0.78</v>
      </c>
      <c r="R27">
        <v>1788</v>
      </c>
      <c r="S27">
        <v>52.8</v>
      </c>
      <c r="T27">
        <f t="shared" si="1"/>
        <v>1.0149999999999999</v>
      </c>
      <c r="U27">
        <f t="shared" si="2"/>
        <v>39.680799999999998</v>
      </c>
      <c r="V27">
        <f t="shared" si="3"/>
        <v>3074.2079999999996</v>
      </c>
      <c r="W27" s="58" t="str">
        <f t="shared" si="4"/>
        <v>10° Skew Variable Width Abutment 50% Skewed Wings</v>
      </c>
      <c r="AE27" t="s">
        <v>132</v>
      </c>
      <c r="AF27">
        <v>51</v>
      </c>
      <c r="AG27" t="str">
        <f t="shared" si="5"/>
        <v>BSA-051 40° Skew Variable Width Abutment 25% Skewed Wings</v>
      </c>
    </row>
    <row r="28" spans="1:33" x14ac:dyDescent="0.25">
      <c r="M28" t="s">
        <v>115</v>
      </c>
      <c r="N28">
        <v>7</v>
      </c>
      <c r="O28" t="str">
        <f t="shared" si="0"/>
        <v>10_50_7</v>
      </c>
      <c r="P28">
        <v>29.2</v>
      </c>
      <c r="Q28">
        <v>0.93</v>
      </c>
      <c r="R28">
        <v>2676</v>
      </c>
      <c r="S28">
        <v>68.7</v>
      </c>
      <c r="T28">
        <f t="shared" si="1"/>
        <v>1.0149999999999999</v>
      </c>
      <c r="U28">
        <f t="shared" si="2"/>
        <v>51.854799999999997</v>
      </c>
      <c r="V28">
        <f t="shared" si="3"/>
        <v>4349.5320000000002</v>
      </c>
      <c r="W28" s="58" t="str">
        <f t="shared" si="4"/>
        <v>10° Skew Variable Width Abutment 50% Skewed Wings</v>
      </c>
      <c r="AE28" t="s">
        <v>122</v>
      </c>
      <c r="AF28">
        <v>53</v>
      </c>
      <c r="AG28" t="str">
        <f t="shared" si="5"/>
        <v>BSA-053 40° Skew Variable Width Abutment 50% Skewed Wings</v>
      </c>
    </row>
    <row r="29" spans="1:33" x14ac:dyDescent="0.25">
      <c r="M29" t="s">
        <v>115</v>
      </c>
      <c r="N29">
        <v>8</v>
      </c>
      <c r="O29" t="str">
        <f t="shared" si="0"/>
        <v>10_50_8</v>
      </c>
      <c r="P29">
        <v>31.26</v>
      </c>
      <c r="Q29">
        <v>1.01</v>
      </c>
      <c r="R29">
        <v>2676</v>
      </c>
      <c r="S29">
        <v>68.7</v>
      </c>
      <c r="T29">
        <f t="shared" si="1"/>
        <v>1.0149999999999999</v>
      </c>
      <c r="U29">
        <f t="shared" si="2"/>
        <v>55.863600000000005</v>
      </c>
      <c r="V29">
        <f t="shared" si="3"/>
        <v>4349.5320000000002</v>
      </c>
      <c r="W29" s="58" t="str">
        <f t="shared" si="4"/>
        <v>10° Skew Variable Width Abutment 50% Skewed Wings</v>
      </c>
      <c r="AE29" t="s">
        <v>143</v>
      </c>
      <c r="AF29">
        <v>55</v>
      </c>
      <c r="AG29" t="str">
        <f t="shared" si="5"/>
        <v>BSA-055 45° Skew Variable Width Abutment 00% Skewed Wings</v>
      </c>
    </row>
    <row r="30" spans="1:33" x14ac:dyDescent="0.25">
      <c r="M30" t="s">
        <v>115</v>
      </c>
      <c r="N30">
        <v>9</v>
      </c>
      <c r="O30" t="str">
        <f t="shared" si="0"/>
        <v>10_50_9</v>
      </c>
      <c r="P30">
        <v>44.14</v>
      </c>
      <c r="Q30">
        <v>1.19</v>
      </c>
      <c r="R30">
        <v>4102</v>
      </c>
      <c r="S30">
        <v>91</v>
      </c>
      <c r="T30">
        <f t="shared" si="1"/>
        <v>1.0149999999999999</v>
      </c>
      <c r="U30">
        <f t="shared" si="2"/>
        <v>73.128399999999999</v>
      </c>
      <c r="V30">
        <f t="shared" si="3"/>
        <v>6318.76</v>
      </c>
      <c r="W30" s="58" t="str">
        <f t="shared" si="4"/>
        <v>10° Skew Variable Width Abutment 50% Skewed Wings</v>
      </c>
      <c r="AE30" t="s">
        <v>133</v>
      </c>
      <c r="AF30">
        <v>57</v>
      </c>
      <c r="AG30" t="str">
        <f t="shared" si="5"/>
        <v>BSA-057 45° Skew Variable Width Abutment 25% Skewed Wings</v>
      </c>
    </row>
    <row r="31" spans="1:33" x14ac:dyDescent="0.25">
      <c r="M31" t="s">
        <v>115</v>
      </c>
      <c r="N31">
        <v>10</v>
      </c>
      <c r="O31" t="str">
        <f t="shared" si="0"/>
        <v>10_50_10</v>
      </c>
      <c r="P31">
        <v>46.65</v>
      </c>
      <c r="Q31">
        <v>1.27</v>
      </c>
      <c r="R31">
        <v>4102</v>
      </c>
      <c r="S31">
        <v>91</v>
      </c>
      <c r="T31">
        <f t="shared" si="1"/>
        <v>1.0149999999999999</v>
      </c>
      <c r="U31">
        <f t="shared" si="2"/>
        <v>77.587199999999996</v>
      </c>
      <c r="V31">
        <f t="shared" si="3"/>
        <v>6318.76</v>
      </c>
      <c r="W31" s="58" t="str">
        <f t="shared" si="4"/>
        <v>10° Skew Variable Width Abutment 50% Skewed Wings</v>
      </c>
      <c r="AE31" t="s">
        <v>123</v>
      </c>
      <c r="AF31">
        <v>59</v>
      </c>
      <c r="AG31" t="str">
        <f t="shared" si="5"/>
        <v>BSA-059 45° Skew Variable Width Abutment 50% Skewed Wings</v>
      </c>
    </row>
    <row r="32" spans="1:33" x14ac:dyDescent="0.25">
      <c r="M32" t="s">
        <v>115</v>
      </c>
      <c r="N32">
        <v>11</v>
      </c>
      <c r="O32" t="str">
        <f t="shared" si="0"/>
        <v>10_50_11</v>
      </c>
      <c r="P32">
        <v>59.21</v>
      </c>
      <c r="Q32">
        <v>1.41</v>
      </c>
      <c r="R32">
        <v>5987</v>
      </c>
      <c r="S32">
        <v>120.4</v>
      </c>
      <c r="T32">
        <f t="shared" si="1"/>
        <v>1.0149999999999999</v>
      </c>
      <c r="U32">
        <f t="shared" si="2"/>
        <v>93.557599999999994</v>
      </c>
      <c r="V32">
        <f t="shared" si="3"/>
        <v>8919.9439999999995</v>
      </c>
      <c r="W32" s="58" t="str">
        <f t="shared" si="4"/>
        <v>10° Skew Variable Width Abutment 50% Skewed Wings</v>
      </c>
    </row>
    <row r="33" spans="13:33" x14ac:dyDescent="0.25">
      <c r="M33" t="s">
        <v>115</v>
      </c>
      <c r="N33">
        <v>12</v>
      </c>
      <c r="O33" t="str">
        <f t="shared" si="0"/>
        <v>10_50_12</v>
      </c>
      <c r="P33">
        <v>62.08</v>
      </c>
      <c r="Q33">
        <v>1.49</v>
      </c>
      <c r="R33">
        <v>5987</v>
      </c>
      <c r="S33">
        <v>120.4</v>
      </c>
      <c r="T33">
        <f t="shared" si="1"/>
        <v>1.0149999999999999</v>
      </c>
      <c r="U33">
        <f t="shared" si="2"/>
        <v>98.37639999999999</v>
      </c>
      <c r="V33">
        <f t="shared" si="3"/>
        <v>8919.9439999999995</v>
      </c>
      <c r="W33" s="58" t="str">
        <f t="shared" si="4"/>
        <v>10° Skew Variable Width Abutment 50% Skewed Wings</v>
      </c>
      <c r="AE33" t="s">
        <v>322</v>
      </c>
    </row>
    <row r="34" spans="13:33" x14ac:dyDescent="0.25">
      <c r="M34" t="s">
        <v>115</v>
      </c>
      <c r="N34">
        <v>13</v>
      </c>
      <c r="O34" t="str">
        <f t="shared" si="0"/>
        <v>10_50_13</v>
      </c>
      <c r="P34">
        <v>78.23</v>
      </c>
      <c r="Q34">
        <v>1.64</v>
      </c>
      <c r="R34">
        <v>8896</v>
      </c>
      <c r="S34">
        <v>161</v>
      </c>
      <c r="T34">
        <f t="shared" si="1"/>
        <v>1.0149999999999999</v>
      </c>
      <c r="U34">
        <f t="shared" si="2"/>
        <v>118.18039999999999</v>
      </c>
      <c r="V34">
        <f t="shared" si="3"/>
        <v>12817.96</v>
      </c>
      <c r="W34" s="58" t="str">
        <f t="shared" si="4"/>
        <v>10° Skew Variable Width Abutment 50% Skewed Wings</v>
      </c>
      <c r="AE34" t="s">
        <v>134</v>
      </c>
      <c r="AF34">
        <v>2</v>
      </c>
      <c r="AG34" t="str">
        <f t="shared" ref="AG34:AG63" si="7">CONCATENATE("BSA-",RIGHT(CONCATENATE("000",AF34),3)," ",LEFT(AE34,2)*1,"° Skew Variable Width Abutment ",RIGHT(AE34,2),"% Skewed Wings")</f>
        <v>BSA-002 0° Skew Variable Width Abutment 00% Skewed Wings</v>
      </c>
    </row>
    <row r="35" spans="13:33" x14ac:dyDescent="0.25">
      <c r="M35" t="s">
        <v>115</v>
      </c>
      <c r="N35">
        <v>14</v>
      </c>
      <c r="O35" t="str">
        <f t="shared" si="0"/>
        <v>10_50_14</v>
      </c>
      <c r="P35">
        <v>81.55</v>
      </c>
      <c r="Q35">
        <v>1.71</v>
      </c>
      <c r="R35">
        <v>8896</v>
      </c>
      <c r="S35">
        <v>161</v>
      </c>
      <c r="T35">
        <f t="shared" si="1"/>
        <v>1.0149999999999999</v>
      </c>
      <c r="U35">
        <f t="shared" si="2"/>
        <v>123.20559999999999</v>
      </c>
      <c r="V35">
        <f t="shared" si="3"/>
        <v>12817.96</v>
      </c>
      <c r="W35" s="58" t="str">
        <f t="shared" si="4"/>
        <v>10° Skew Variable Width Abutment 50% Skewed Wings</v>
      </c>
      <c r="AE35" t="s">
        <v>124</v>
      </c>
      <c r="AF35">
        <v>4</v>
      </c>
      <c r="AG35" t="str">
        <f t="shared" si="7"/>
        <v>BSA-004 0° Skew Variable Width Abutment 25% Skewed Wings</v>
      </c>
    </row>
    <row r="36" spans="13:33" x14ac:dyDescent="0.25">
      <c r="M36" t="s">
        <v>115</v>
      </c>
      <c r="N36">
        <v>15</v>
      </c>
      <c r="O36" t="str">
        <f t="shared" si="0"/>
        <v>10_50_15</v>
      </c>
      <c r="P36">
        <v>97.96</v>
      </c>
      <c r="Q36">
        <v>1.86</v>
      </c>
      <c r="R36">
        <v>11932</v>
      </c>
      <c r="S36">
        <v>198.6</v>
      </c>
      <c r="T36">
        <f t="shared" si="1"/>
        <v>1.0149999999999999</v>
      </c>
      <c r="U36">
        <f t="shared" si="2"/>
        <v>143.2696</v>
      </c>
      <c r="V36">
        <f t="shared" si="3"/>
        <v>16769.896000000001</v>
      </c>
      <c r="W36" s="58" t="str">
        <f t="shared" si="4"/>
        <v>10° Skew Variable Width Abutment 50% Skewed Wings</v>
      </c>
      <c r="AE36" t="s">
        <v>116</v>
      </c>
      <c r="AF36">
        <v>6</v>
      </c>
      <c r="AG36" t="str">
        <f t="shared" si="7"/>
        <v>BSA-006 0° Skew Variable Width Abutment 50% Skewed Wings</v>
      </c>
    </row>
    <row r="37" spans="13:33" x14ac:dyDescent="0.25">
      <c r="M37" t="s">
        <v>115</v>
      </c>
      <c r="N37">
        <v>16</v>
      </c>
      <c r="O37" t="str">
        <f t="shared" si="0"/>
        <v>10_50_16</v>
      </c>
      <c r="P37">
        <v>101.65</v>
      </c>
      <c r="Q37">
        <v>1.93</v>
      </c>
      <c r="R37">
        <v>11932</v>
      </c>
      <c r="S37">
        <v>198.6</v>
      </c>
      <c r="T37">
        <f t="shared" si="1"/>
        <v>1.0149999999999999</v>
      </c>
      <c r="U37">
        <f t="shared" si="2"/>
        <v>148.66480000000001</v>
      </c>
      <c r="V37">
        <f t="shared" si="3"/>
        <v>16769.896000000001</v>
      </c>
      <c r="W37" s="58" t="str">
        <f t="shared" si="4"/>
        <v>10° Skew Variable Width Abutment 50% Skewed Wings</v>
      </c>
      <c r="AE37" t="s">
        <v>135</v>
      </c>
      <c r="AF37">
        <v>8</v>
      </c>
      <c r="AG37" t="str">
        <f t="shared" si="7"/>
        <v>BSA-008 5° Skew Variable Width Abutment 00% Skewed Wings</v>
      </c>
    </row>
    <row r="38" spans="13:33" x14ac:dyDescent="0.25">
      <c r="M38" t="s">
        <v>117</v>
      </c>
      <c r="N38">
        <v>5</v>
      </c>
      <c r="O38" t="str">
        <f t="shared" si="0"/>
        <v>15_50_5</v>
      </c>
      <c r="P38">
        <v>19.899999999999999</v>
      </c>
      <c r="Q38">
        <v>0.71</v>
      </c>
      <c r="R38">
        <v>1864</v>
      </c>
      <c r="S38">
        <v>52.8</v>
      </c>
      <c r="T38">
        <f t="shared" si="1"/>
        <v>1.0349999999999999</v>
      </c>
      <c r="U38">
        <f t="shared" si="2"/>
        <v>37.5364</v>
      </c>
      <c r="V38">
        <f t="shared" si="3"/>
        <v>3175.5519999999997</v>
      </c>
      <c r="W38" s="58" t="str">
        <f t="shared" si="4"/>
        <v>15° Skew Variable Width Abutment 50% Skewed Wings</v>
      </c>
      <c r="AE38" t="s">
        <v>125</v>
      </c>
      <c r="AF38">
        <v>10</v>
      </c>
      <c r="AG38" t="str">
        <f t="shared" si="7"/>
        <v>BSA-010 5° Skew Variable Width Abutment 25% Skewed Wings</v>
      </c>
    </row>
    <row r="39" spans="13:33" x14ac:dyDescent="0.25">
      <c r="M39" t="s">
        <v>117</v>
      </c>
      <c r="N39">
        <v>6</v>
      </c>
      <c r="O39" t="str">
        <f t="shared" si="0"/>
        <v>15_50_6</v>
      </c>
      <c r="P39">
        <v>21.68</v>
      </c>
      <c r="Q39">
        <v>0.78</v>
      </c>
      <c r="R39">
        <v>1864</v>
      </c>
      <c r="S39">
        <v>52.8</v>
      </c>
      <c r="T39">
        <f t="shared" si="1"/>
        <v>1.0349999999999999</v>
      </c>
      <c r="U39">
        <f t="shared" si="2"/>
        <v>41.055199999999999</v>
      </c>
      <c r="V39">
        <f t="shared" si="3"/>
        <v>3175.5519999999997</v>
      </c>
      <c r="W39" s="58" t="str">
        <f t="shared" si="4"/>
        <v>15° Skew Variable Width Abutment 50% Skewed Wings</v>
      </c>
      <c r="AE39" t="s">
        <v>114</v>
      </c>
      <c r="AF39">
        <v>12</v>
      </c>
      <c r="AG39" t="str">
        <f t="shared" si="7"/>
        <v>BSA-012 5° Skew Variable Width Abutment 50% Skewed Wings</v>
      </c>
    </row>
    <row r="40" spans="13:33" x14ac:dyDescent="0.25">
      <c r="M40" t="s">
        <v>117</v>
      </c>
      <c r="N40">
        <v>7</v>
      </c>
      <c r="O40" t="str">
        <f t="shared" si="0"/>
        <v>15_50_7</v>
      </c>
      <c r="P40">
        <v>29.34</v>
      </c>
      <c r="Q40">
        <v>0.93</v>
      </c>
      <c r="R40">
        <v>2687</v>
      </c>
      <c r="S40">
        <v>68.7</v>
      </c>
      <c r="T40">
        <f t="shared" si="1"/>
        <v>1.0349999999999999</v>
      </c>
      <c r="U40">
        <f t="shared" si="2"/>
        <v>52.441199999999995</v>
      </c>
      <c r="V40">
        <f t="shared" si="3"/>
        <v>4393.5079999999998</v>
      </c>
      <c r="W40" s="58" t="str">
        <f t="shared" si="4"/>
        <v>15° Skew Variable Width Abutment 50% Skewed Wings</v>
      </c>
      <c r="AE40" t="s">
        <v>136</v>
      </c>
      <c r="AF40">
        <v>14</v>
      </c>
      <c r="AG40" t="str">
        <f t="shared" si="7"/>
        <v>BSA-014 10° Skew Variable Width Abutment 00% Skewed Wings</v>
      </c>
    </row>
    <row r="41" spans="13:33" x14ac:dyDescent="0.25">
      <c r="M41" t="s">
        <v>117</v>
      </c>
      <c r="N41">
        <v>8</v>
      </c>
      <c r="O41" t="str">
        <f t="shared" si="0"/>
        <v>15_50_8</v>
      </c>
      <c r="P41">
        <v>31.41</v>
      </c>
      <c r="Q41">
        <v>1.01</v>
      </c>
      <c r="R41">
        <v>2687</v>
      </c>
      <c r="S41">
        <v>68.7</v>
      </c>
      <c r="T41">
        <f t="shared" si="1"/>
        <v>1.0349999999999999</v>
      </c>
      <c r="U41">
        <f t="shared" si="2"/>
        <v>56.498400000000004</v>
      </c>
      <c r="V41">
        <f t="shared" si="3"/>
        <v>4393.5079999999998</v>
      </c>
      <c r="W41" s="58" t="str">
        <f t="shared" si="4"/>
        <v>15° Skew Variable Width Abutment 50% Skewed Wings</v>
      </c>
      <c r="AE41" t="s">
        <v>126</v>
      </c>
      <c r="AF41">
        <v>16</v>
      </c>
      <c r="AG41" t="str">
        <f t="shared" si="7"/>
        <v>BSA-016 10° Skew Variable Width Abutment 25% Skewed Wings</v>
      </c>
    </row>
    <row r="42" spans="13:33" x14ac:dyDescent="0.25">
      <c r="M42" t="s">
        <v>117</v>
      </c>
      <c r="N42">
        <v>9</v>
      </c>
      <c r="O42" t="str">
        <f t="shared" si="0"/>
        <v>15_50_9</v>
      </c>
      <c r="P42">
        <v>44.31</v>
      </c>
      <c r="Q42">
        <v>1.19</v>
      </c>
      <c r="R42">
        <v>4139</v>
      </c>
      <c r="S42">
        <v>91</v>
      </c>
      <c r="T42">
        <f t="shared" si="1"/>
        <v>1.0349999999999999</v>
      </c>
      <c r="U42">
        <f t="shared" si="2"/>
        <v>73.869599999999991</v>
      </c>
      <c r="V42">
        <f t="shared" si="3"/>
        <v>6399.44</v>
      </c>
      <c r="W42" s="58" t="str">
        <f t="shared" si="4"/>
        <v>15° Skew Variable Width Abutment 50% Skewed Wings</v>
      </c>
      <c r="AE42" t="s">
        <v>115</v>
      </c>
      <c r="AF42">
        <v>18</v>
      </c>
      <c r="AG42" t="str">
        <f t="shared" si="7"/>
        <v>BSA-018 10° Skew Variable Width Abutment 50% Skewed Wings</v>
      </c>
    </row>
    <row r="43" spans="13:33" x14ac:dyDescent="0.25">
      <c r="M43" t="s">
        <v>117</v>
      </c>
      <c r="N43">
        <v>10</v>
      </c>
      <c r="O43" t="str">
        <f t="shared" si="0"/>
        <v>15_50_10</v>
      </c>
      <c r="P43">
        <v>46.83</v>
      </c>
      <c r="Q43">
        <v>1.27</v>
      </c>
      <c r="R43">
        <v>4139</v>
      </c>
      <c r="S43">
        <v>91</v>
      </c>
      <c r="T43">
        <f t="shared" si="1"/>
        <v>1.0349999999999999</v>
      </c>
      <c r="U43">
        <f t="shared" si="2"/>
        <v>78.376800000000003</v>
      </c>
      <c r="V43">
        <f t="shared" si="3"/>
        <v>6399.44</v>
      </c>
      <c r="W43" s="58" t="str">
        <f t="shared" si="4"/>
        <v>15° Skew Variable Width Abutment 50% Skewed Wings</v>
      </c>
      <c r="AE43" t="s">
        <v>137</v>
      </c>
      <c r="AF43">
        <v>20</v>
      </c>
      <c r="AG43" t="str">
        <f t="shared" si="7"/>
        <v>BSA-020 15° Skew Variable Width Abutment 00% Skewed Wings</v>
      </c>
    </row>
    <row r="44" spans="13:33" x14ac:dyDescent="0.25">
      <c r="M44" t="s">
        <v>117</v>
      </c>
      <c r="N44">
        <v>11</v>
      </c>
      <c r="O44" t="str">
        <f t="shared" si="0"/>
        <v>15_50_11</v>
      </c>
      <c r="P44">
        <v>60.91</v>
      </c>
      <c r="Q44">
        <v>1.41</v>
      </c>
      <c r="R44">
        <v>6133</v>
      </c>
      <c r="S44">
        <v>120.4</v>
      </c>
      <c r="T44">
        <f t="shared" si="1"/>
        <v>1.0349999999999999</v>
      </c>
      <c r="U44">
        <f t="shared" si="2"/>
        <v>95.934399999999982</v>
      </c>
      <c r="V44">
        <f t="shared" si="3"/>
        <v>9123.7360000000008</v>
      </c>
      <c r="W44" s="58" t="str">
        <f t="shared" si="4"/>
        <v>15° Skew Variable Width Abutment 50% Skewed Wings</v>
      </c>
      <c r="AE44" t="s">
        <v>127</v>
      </c>
      <c r="AF44">
        <v>22</v>
      </c>
      <c r="AG44" t="str">
        <f t="shared" si="7"/>
        <v>BSA-022 15° Skew Variable Width Abutment 25% Skewed Wings</v>
      </c>
    </row>
    <row r="45" spans="13:33" x14ac:dyDescent="0.25">
      <c r="M45" t="s">
        <v>117</v>
      </c>
      <c r="N45">
        <v>12</v>
      </c>
      <c r="O45" t="str">
        <f t="shared" si="0"/>
        <v>15_50_12</v>
      </c>
      <c r="P45">
        <v>63.87</v>
      </c>
      <c r="Q45">
        <v>1.49</v>
      </c>
      <c r="R45">
        <v>6133</v>
      </c>
      <c r="S45">
        <v>120.4</v>
      </c>
      <c r="T45">
        <f t="shared" si="1"/>
        <v>1.0349999999999999</v>
      </c>
      <c r="U45">
        <f t="shared" si="2"/>
        <v>100.88159999999999</v>
      </c>
      <c r="V45">
        <f t="shared" si="3"/>
        <v>9123.7360000000008</v>
      </c>
      <c r="W45" s="58" t="str">
        <f t="shared" si="4"/>
        <v>15° Skew Variable Width Abutment 50% Skewed Wings</v>
      </c>
      <c r="AE45" t="s">
        <v>117</v>
      </c>
      <c r="AF45">
        <v>24</v>
      </c>
      <c r="AG45" t="str">
        <f t="shared" si="7"/>
        <v>BSA-024 15° Skew Variable Width Abutment 50% Skewed Wings</v>
      </c>
    </row>
    <row r="46" spans="13:33" x14ac:dyDescent="0.25">
      <c r="M46" t="s">
        <v>117</v>
      </c>
      <c r="N46">
        <v>13</v>
      </c>
      <c r="O46" t="str">
        <f t="shared" si="0"/>
        <v>15_50_13</v>
      </c>
      <c r="P46">
        <v>78.45</v>
      </c>
      <c r="Q46">
        <v>1.64</v>
      </c>
      <c r="R46">
        <v>8909</v>
      </c>
      <c r="S46">
        <v>161</v>
      </c>
      <c r="T46">
        <f t="shared" si="1"/>
        <v>1.0349999999999999</v>
      </c>
      <c r="U46">
        <f t="shared" si="2"/>
        <v>119.1876</v>
      </c>
      <c r="V46">
        <f t="shared" si="3"/>
        <v>12908.24</v>
      </c>
      <c r="W46" s="58" t="str">
        <f t="shared" si="4"/>
        <v>15° Skew Variable Width Abutment 50% Skewed Wings</v>
      </c>
      <c r="AE46" t="s">
        <v>138</v>
      </c>
      <c r="AF46">
        <v>26</v>
      </c>
      <c r="AG46" t="str">
        <f t="shared" si="7"/>
        <v>BSA-026 20° Skew Variable Width Abutment 00% Skewed Wings</v>
      </c>
    </row>
    <row r="47" spans="13:33" x14ac:dyDescent="0.25">
      <c r="M47" t="s">
        <v>117</v>
      </c>
      <c r="N47">
        <v>14</v>
      </c>
      <c r="O47" t="str">
        <f t="shared" si="0"/>
        <v>15_50_14</v>
      </c>
      <c r="P47">
        <v>81.78</v>
      </c>
      <c r="Q47">
        <v>1.71</v>
      </c>
      <c r="R47">
        <v>8909</v>
      </c>
      <c r="S47">
        <v>161</v>
      </c>
      <c r="T47">
        <f t="shared" si="1"/>
        <v>1.0349999999999999</v>
      </c>
      <c r="U47">
        <f t="shared" si="2"/>
        <v>124.2564</v>
      </c>
      <c r="V47">
        <f t="shared" si="3"/>
        <v>12908.24</v>
      </c>
      <c r="W47" s="58" t="str">
        <f t="shared" si="4"/>
        <v>15° Skew Variable Width Abutment 50% Skewed Wings</v>
      </c>
      <c r="AE47" t="s">
        <v>128</v>
      </c>
      <c r="AF47">
        <v>28</v>
      </c>
      <c r="AG47" t="str">
        <f t="shared" si="7"/>
        <v>BSA-028 20° Skew Variable Width Abutment 25% Skewed Wings</v>
      </c>
    </row>
    <row r="48" spans="13:33" x14ac:dyDescent="0.25">
      <c r="M48" t="s">
        <v>117</v>
      </c>
      <c r="N48">
        <v>15</v>
      </c>
      <c r="O48" t="str">
        <f t="shared" si="0"/>
        <v>15_50_15</v>
      </c>
      <c r="P48">
        <v>98.21</v>
      </c>
      <c r="Q48">
        <v>1.86</v>
      </c>
      <c r="R48">
        <v>11949</v>
      </c>
      <c r="S48">
        <v>198.6</v>
      </c>
      <c r="T48">
        <f t="shared" si="1"/>
        <v>1.0349999999999999</v>
      </c>
      <c r="U48">
        <f t="shared" si="2"/>
        <v>144.41239999999999</v>
      </c>
      <c r="V48">
        <f t="shared" si="3"/>
        <v>16882.223999999998</v>
      </c>
      <c r="W48" s="58" t="str">
        <f t="shared" si="4"/>
        <v>15° Skew Variable Width Abutment 50% Skewed Wings</v>
      </c>
      <c r="AE48" t="s">
        <v>118</v>
      </c>
      <c r="AF48">
        <v>30</v>
      </c>
      <c r="AG48" t="str">
        <f t="shared" si="7"/>
        <v>BSA-030 20° Skew Variable Width Abutment 50% Skewed Wings</v>
      </c>
    </row>
    <row r="49" spans="13:33" x14ac:dyDescent="0.25">
      <c r="M49" t="s">
        <v>117</v>
      </c>
      <c r="N49">
        <v>16</v>
      </c>
      <c r="O49" t="str">
        <f t="shared" si="0"/>
        <v>15_50_16</v>
      </c>
      <c r="P49">
        <v>101.91</v>
      </c>
      <c r="Q49">
        <v>1.93</v>
      </c>
      <c r="R49">
        <v>11949</v>
      </c>
      <c r="S49">
        <v>198.6</v>
      </c>
      <c r="T49">
        <f t="shared" si="1"/>
        <v>1.0349999999999999</v>
      </c>
      <c r="U49">
        <f t="shared" si="2"/>
        <v>149.85120000000001</v>
      </c>
      <c r="V49">
        <f t="shared" si="3"/>
        <v>16882.223999999998</v>
      </c>
      <c r="W49" s="58" t="str">
        <f t="shared" si="4"/>
        <v>15° Skew Variable Width Abutment 50% Skewed Wings</v>
      </c>
      <c r="AE49" t="s">
        <v>139</v>
      </c>
      <c r="AF49">
        <v>32</v>
      </c>
      <c r="AG49" t="str">
        <f t="shared" si="7"/>
        <v>BSA-032 25° Skew Variable Width Abutment 00% Skewed Wings</v>
      </c>
    </row>
    <row r="50" spans="13:33" x14ac:dyDescent="0.25">
      <c r="M50" t="s">
        <v>118</v>
      </c>
      <c r="N50">
        <v>5</v>
      </c>
      <c r="O50" t="str">
        <f t="shared" si="0"/>
        <v>20_50_5</v>
      </c>
      <c r="P50">
        <v>19.260000000000002</v>
      </c>
      <c r="Q50">
        <v>0.71</v>
      </c>
      <c r="R50">
        <v>1802</v>
      </c>
      <c r="S50">
        <v>52.8</v>
      </c>
      <c r="T50">
        <f t="shared" si="1"/>
        <v>1.0640000000000001</v>
      </c>
      <c r="U50">
        <f t="shared" si="2"/>
        <v>37.390560000000001</v>
      </c>
      <c r="V50">
        <f t="shared" si="3"/>
        <v>3150.3008</v>
      </c>
      <c r="W50" s="58" t="str">
        <f t="shared" si="4"/>
        <v>20° Skew Variable Width Abutment 50% Skewed Wings</v>
      </c>
      <c r="AE50" t="s">
        <v>129</v>
      </c>
      <c r="AF50">
        <v>34</v>
      </c>
      <c r="AG50" t="str">
        <f t="shared" si="7"/>
        <v>BSA-034 25° Skew Variable Width Abutment 25% Skewed Wings</v>
      </c>
    </row>
    <row r="51" spans="13:33" x14ac:dyDescent="0.25">
      <c r="M51" t="s">
        <v>118</v>
      </c>
      <c r="N51">
        <v>6</v>
      </c>
      <c r="O51" t="str">
        <f t="shared" si="0"/>
        <v>20_50_6</v>
      </c>
      <c r="P51">
        <v>20.97</v>
      </c>
      <c r="Q51">
        <v>0.78</v>
      </c>
      <c r="R51">
        <v>1802</v>
      </c>
      <c r="S51">
        <v>52.8</v>
      </c>
      <c r="T51">
        <f t="shared" si="1"/>
        <v>1.0640000000000001</v>
      </c>
      <c r="U51">
        <f t="shared" si="2"/>
        <v>40.888080000000002</v>
      </c>
      <c r="V51">
        <f t="shared" si="3"/>
        <v>3150.3008</v>
      </c>
      <c r="W51" s="58" t="str">
        <f t="shared" si="4"/>
        <v>20° Skew Variable Width Abutment 50% Skewed Wings</v>
      </c>
      <c r="AE51" t="s">
        <v>119</v>
      </c>
      <c r="AF51">
        <v>36</v>
      </c>
      <c r="AG51" t="str">
        <f t="shared" si="7"/>
        <v>BSA-036 25° Skew Variable Width Abutment 50% Skewed Wings</v>
      </c>
    </row>
    <row r="52" spans="13:33" x14ac:dyDescent="0.25">
      <c r="M52" t="s">
        <v>118</v>
      </c>
      <c r="N52">
        <v>7</v>
      </c>
      <c r="O52" t="str">
        <f t="shared" si="0"/>
        <v>20_50_7</v>
      </c>
      <c r="P52">
        <v>29.54</v>
      </c>
      <c r="Q52">
        <v>0.93</v>
      </c>
      <c r="R52">
        <v>2692</v>
      </c>
      <c r="S52">
        <v>68.7</v>
      </c>
      <c r="T52">
        <f t="shared" si="1"/>
        <v>1.0640000000000001</v>
      </c>
      <c r="U52">
        <f t="shared" si="2"/>
        <v>53.28848</v>
      </c>
      <c r="V52">
        <f t="shared" si="3"/>
        <v>4446.3232000000007</v>
      </c>
      <c r="W52" s="58" t="str">
        <f t="shared" si="4"/>
        <v>20° Skew Variable Width Abutment 50% Skewed Wings</v>
      </c>
      <c r="AE52" t="s">
        <v>140</v>
      </c>
      <c r="AF52">
        <v>38</v>
      </c>
      <c r="AG52" t="str">
        <f t="shared" si="7"/>
        <v>BSA-038 30° Skew Variable Width Abutment 00% Skewed Wings</v>
      </c>
    </row>
    <row r="53" spans="13:33" x14ac:dyDescent="0.25">
      <c r="M53" t="s">
        <v>118</v>
      </c>
      <c r="N53">
        <v>8</v>
      </c>
      <c r="O53" t="str">
        <f t="shared" si="0"/>
        <v>20_50_8</v>
      </c>
      <c r="P53">
        <v>31.63</v>
      </c>
      <c r="Q53">
        <v>1.01</v>
      </c>
      <c r="R53">
        <v>2692</v>
      </c>
      <c r="S53">
        <v>68.7</v>
      </c>
      <c r="T53">
        <f t="shared" si="1"/>
        <v>1.0640000000000001</v>
      </c>
      <c r="U53">
        <f t="shared" si="2"/>
        <v>57.421360000000007</v>
      </c>
      <c r="V53">
        <f t="shared" si="3"/>
        <v>4446.3232000000007</v>
      </c>
      <c r="W53" s="58" t="str">
        <f t="shared" si="4"/>
        <v>20° Skew Variable Width Abutment 50% Skewed Wings</v>
      </c>
      <c r="AE53" t="s">
        <v>130</v>
      </c>
      <c r="AF53">
        <v>40</v>
      </c>
      <c r="AG53" t="str">
        <f t="shared" si="7"/>
        <v>BSA-040 30° Skew Variable Width Abutment 25% Skewed Wings</v>
      </c>
    </row>
    <row r="54" spans="13:33" x14ac:dyDescent="0.25">
      <c r="M54" t="s">
        <v>118</v>
      </c>
      <c r="N54">
        <v>9</v>
      </c>
      <c r="O54" t="str">
        <f t="shared" si="0"/>
        <v>20_50_9</v>
      </c>
      <c r="P54">
        <v>45.85</v>
      </c>
      <c r="Q54">
        <v>1.19</v>
      </c>
      <c r="R54">
        <v>4226</v>
      </c>
      <c r="S54">
        <v>91</v>
      </c>
      <c r="T54">
        <f t="shared" si="1"/>
        <v>1.0640000000000001</v>
      </c>
      <c r="U54">
        <f t="shared" si="2"/>
        <v>76.237840000000006</v>
      </c>
      <c r="V54">
        <f t="shared" si="3"/>
        <v>6549.7759999999998</v>
      </c>
      <c r="W54" s="58" t="str">
        <f t="shared" si="4"/>
        <v>20° Skew Variable Width Abutment 50% Skewed Wings</v>
      </c>
      <c r="AE54" t="s">
        <v>120</v>
      </c>
      <c r="AF54">
        <v>42</v>
      </c>
      <c r="AG54" t="str">
        <f t="shared" si="7"/>
        <v>BSA-042 30° Skew Variable Width Abutment 50% Skewed Wings</v>
      </c>
    </row>
    <row r="55" spans="13:33" x14ac:dyDescent="0.25">
      <c r="M55" t="s">
        <v>118</v>
      </c>
      <c r="N55">
        <v>10</v>
      </c>
      <c r="O55" t="str">
        <f t="shared" si="0"/>
        <v>20_50_10</v>
      </c>
      <c r="P55">
        <v>48.45</v>
      </c>
      <c r="Q55">
        <v>1.27</v>
      </c>
      <c r="R55">
        <v>4226</v>
      </c>
      <c r="S55">
        <v>91</v>
      </c>
      <c r="T55">
        <f t="shared" si="1"/>
        <v>1.0640000000000001</v>
      </c>
      <c r="U55">
        <f t="shared" si="2"/>
        <v>80.880719999999997</v>
      </c>
      <c r="V55">
        <f t="shared" si="3"/>
        <v>6549.7759999999998</v>
      </c>
      <c r="W55" s="58" t="str">
        <f t="shared" si="4"/>
        <v>20° Skew Variable Width Abutment 50% Skewed Wings</v>
      </c>
      <c r="AE55" t="s">
        <v>141</v>
      </c>
      <c r="AF55">
        <v>44</v>
      </c>
      <c r="AG55" t="str">
        <f t="shared" si="7"/>
        <v>BSA-044 35° Skew Variable Width Abutment 00% Skewed Wings</v>
      </c>
    </row>
    <row r="56" spans="13:33" x14ac:dyDescent="0.25">
      <c r="M56" t="s">
        <v>118</v>
      </c>
      <c r="N56">
        <v>11</v>
      </c>
      <c r="O56" t="str">
        <f t="shared" si="0"/>
        <v>20_50_11</v>
      </c>
      <c r="P56">
        <v>61.2</v>
      </c>
      <c r="Q56">
        <v>1.41</v>
      </c>
      <c r="R56">
        <v>6144</v>
      </c>
      <c r="S56">
        <v>120.4</v>
      </c>
      <c r="T56">
        <f t="shared" si="1"/>
        <v>1.0640000000000001</v>
      </c>
      <c r="U56">
        <f t="shared" si="2"/>
        <v>97.205759999999998</v>
      </c>
      <c r="V56">
        <f t="shared" si="3"/>
        <v>9218.5344000000005</v>
      </c>
      <c r="W56" s="58" t="str">
        <f t="shared" si="4"/>
        <v>20° Skew Variable Width Abutment 50% Skewed Wings</v>
      </c>
      <c r="AE56" t="s">
        <v>131</v>
      </c>
      <c r="AF56">
        <v>46</v>
      </c>
      <c r="AG56" t="str">
        <f t="shared" si="7"/>
        <v>BSA-046 35° Skew Variable Width Abutment 25% Skewed Wings</v>
      </c>
    </row>
    <row r="57" spans="13:33" x14ac:dyDescent="0.25">
      <c r="M57" t="s">
        <v>118</v>
      </c>
      <c r="N57">
        <v>12</v>
      </c>
      <c r="O57" t="str">
        <f t="shared" si="0"/>
        <v>20_50_12</v>
      </c>
      <c r="P57">
        <v>64.180000000000007</v>
      </c>
      <c r="Q57">
        <v>1.49</v>
      </c>
      <c r="R57">
        <v>6144</v>
      </c>
      <c r="S57">
        <v>120.4</v>
      </c>
      <c r="T57">
        <f t="shared" si="1"/>
        <v>1.0640000000000001</v>
      </c>
      <c r="U57">
        <f t="shared" si="2"/>
        <v>102.22864000000001</v>
      </c>
      <c r="V57">
        <f t="shared" si="3"/>
        <v>9218.5344000000005</v>
      </c>
      <c r="W57" s="58" t="str">
        <f t="shared" si="4"/>
        <v>20° Skew Variable Width Abutment 50% Skewed Wings</v>
      </c>
      <c r="AE57" t="s">
        <v>121</v>
      </c>
      <c r="AF57">
        <v>48</v>
      </c>
      <c r="AG57" t="str">
        <f t="shared" si="7"/>
        <v>BSA-048 35° Skew Variable Width Abutment 50% Skewed Wings</v>
      </c>
    </row>
    <row r="58" spans="13:33" x14ac:dyDescent="0.25">
      <c r="M58" t="s">
        <v>118</v>
      </c>
      <c r="N58">
        <v>13</v>
      </c>
      <c r="O58" t="str">
        <f t="shared" si="0"/>
        <v>20_50_13</v>
      </c>
      <c r="P58">
        <v>78.78</v>
      </c>
      <c r="Q58">
        <v>1.64</v>
      </c>
      <c r="R58">
        <v>8921</v>
      </c>
      <c r="S58">
        <v>161</v>
      </c>
      <c r="T58">
        <f t="shared" si="1"/>
        <v>1.0640000000000001</v>
      </c>
      <c r="U58">
        <f t="shared" si="2"/>
        <v>120.65904</v>
      </c>
      <c r="V58">
        <f t="shared" si="3"/>
        <v>13032.296</v>
      </c>
      <c r="W58" s="58" t="str">
        <f t="shared" si="4"/>
        <v>20° Skew Variable Width Abutment 50% Skewed Wings</v>
      </c>
      <c r="AE58" t="s">
        <v>142</v>
      </c>
      <c r="AF58">
        <v>50</v>
      </c>
      <c r="AG58" t="str">
        <f t="shared" si="7"/>
        <v>BSA-050 40° Skew Variable Width Abutment 00% Skewed Wings</v>
      </c>
    </row>
    <row r="59" spans="13:33" x14ac:dyDescent="0.25">
      <c r="M59" t="s">
        <v>118</v>
      </c>
      <c r="N59">
        <v>14</v>
      </c>
      <c r="O59" t="str">
        <f t="shared" si="0"/>
        <v>20_50_14</v>
      </c>
      <c r="P59">
        <v>82.13</v>
      </c>
      <c r="Q59">
        <v>1.71</v>
      </c>
      <c r="R59">
        <v>8921</v>
      </c>
      <c r="S59">
        <v>161</v>
      </c>
      <c r="T59">
        <f t="shared" si="1"/>
        <v>1.0640000000000001</v>
      </c>
      <c r="U59">
        <f t="shared" si="2"/>
        <v>125.79656</v>
      </c>
      <c r="V59">
        <f t="shared" si="3"/>
        <v>13032.296</v>
      </c>
      <c r="W59" s="58" t="str">
        <f t="shared" si="4"/>
        <v>20° Skew Variable Width Abutment 50% Skewed Wings</v>
      </c>
      <c r="AE59" t="s">
        <v>132</v>
      </c>
      <c r="AF59">
        <v>52</v>
      </c>
      <c r="AG59" t="str">
        <f t="shared" si="7"/>
        <v>BSA-052 40° Skew Variable Width Abutment 25% Skewed Wings</v>
      </c>
    </row>
    <row r="60" spans="13:33" x14ac:dyDescent="0.25">
      <c r="M60" t="s">
        <v>118</v>
      </c>
      <c r="N60">
        <v>15</v>
      </c>
      <c r="O60" t="str">
        <f t="shared" si="0"/>
        <v>20_50_15</v>
      </c>
      <c r="P60">
        <v>102.49</v>
      </c>
      <c r="Q60">
        <v>1.86</v>
      </c>
      <c r="R60">
        <v>12387</v>
      </c>
      <c r="S60">
        <v>198.6</v>
      </c>
      <c r="T60">
        <f t="shared" si="1"/>
        <v>1.0640000000000001</v>
      </c>
      <c r="U60">
        <f t="shared" si="2"/>
        <v>149.98696000000001</v>
      </c>
      <c r="V60">
        <f t="shared" si="3"/>
        <v>17458.4496</v>
      </c>
      <c r="W60" s="58" t="str">
        <f t="shared" si="4"/>
        <v>20° Skew Variable Width Abutment 50% Skewed Wings</v>
      </c>
      <c r="AE60" t="s">
        <v>122</v>
      </c>
      <c r="AF60">
        <v>54</v>
      </c>
      <c r="AG60" t="str">
        <f t="shared" si="7"/>
        <v>BSA-054 40° Skew Variable Width Abutment 50% Skewed Wings</v>
      </c>
    </row>
    <row r="61" spans="13:33" x14ac:dyDescent="0.25">
      <c r="M61" t="s">
        <v>118</v>
      </c>
      <c r="N61">
        <v>16</v>
      </c>
      <c r="O61" t="str">
        <f t="shared" si="0"/>
        <v>20_50_16</v>
      </c>
      <c r="P61">
        <v>106.35</v>
      </c>
      <c r="Q61">
        <v>1.93</v>
      </c>
      <c r="R61">
        <v>12387</v>
      </c>
      <c r="S61">
        <v>198.6</v>
      </c>
      <c r="T61">
        <f t="shared" si="1"/>
        <v>1.0640000000000001</v>
      </c>
      <c r="U61">
        <f t="shared" si="2"/>
        <v>155.63448</v>
      </c>
      <c r="V61">
        <f t="shared" si="3"/>
        <v>17458.4496</v>
      </c>
      <c r="W61" s="58" t="str">
        <f t="shared" si="4"/>
        <v>20° Skew Variable Width Abutment 50% Skewed Wings</v>
      </c>
      <c r="AE61" t="s">
        <v>143</v>
      </c>
      <c r="AF61">
        <v>56</v>
      </c>
      <c r="AG61" t="str">
        <f t="shared" si="7"/>
        <v>BSA-056 45° Skew Variable Width Abutment 00% Skewed Wings</v>
      </c>
    </row>
    <row r="62" spans="13:33" x14ac:dyDescent="0.25">
      <c r="M62" t="s">
        <v>119</v>
      </c>
      <c r="N62">
        <v>5</v>
      </c>
      <c r="O62" t="str">
        <f t="shared" si="0"/>
        <v>25_50_5</v>
      </c>
      <c r="P62">
        <v>19.48</v>
      </c>
      <c r="Q62">
        <v>0.71</v>
      </c>
      <c r="R62">
        <v>1842</v>
      </c>
      <c r="S62">
        <v>52.8</v>
      </c>
      <c r="T62">
        <f t="shared" si="1"/>
        <v>1.103</v>
      </c>
      <c r="U62">
        <f t="shared" si="2"/>
        <v>38.275120000000001</v>
      </c>
      <c r="V62">
        <f t="shared" si="3"/>
        <v>3239.7215999999999</v>
      </c>
      <c r="W62" s="58" t="str">
        <f t="shared" si="4"/>
        <v>25° Skew Variable Width Abutment 50% Skewed Wings</v>
      </c>
      <c r="AE62" t="s">
        <v>133</v>
      </c>
      <c r="AF62">
        <v>58</v>
      </c>
      <c r="AG62" t="str">
        <f t="shared" si="7"/>
        <v>BSA-058 45° Skew Variable Width Abutment 25% Skewed Wings</v>
      </c>
    </row>
    <row r="63" spans="13:33" x14ac:dyDescent="0.25">
      <c r="M63" t="s">
        <v>119</v>
      </c>
      <c r="N63">
        <v>6</v>
      </c>
      <c r="O63" t="str">
        <f t="shared" si="0"/>
        <v>25_50_6</v>
      </c>
      <c r="P63">
        <v>21.21</v>
      </c>
      <c r="Q63">
        <v>0.78</v>
      </c>
      <c r="R63">
        <v>1842</v>
      </c>
      <c r="S63">
        <v>52.8</v>
      </c>
      <c r="T63">
        <f t="shared" si="1"/>
        <v>1.103</v>
      </c>
      <c r="U63">
        <f t="shared" si="2"/>
        <v>41.858159999999998</v>
      </c>
      <c r="V63">
        <f t="shared" si="3"/>
        <v>3239.7215999999999</v>
      </c>
      <c r="W63" s="58" t="str">
        <f t="shared" si="4"/>
        <v>25° Skew Variable Width Abutment 50% Skewed Wings</v>
      </c>
      <c r="AE63" t="s">
        <v>123</v>
      </c>
      <c r="AF63">
        <v>60</v>
      </c>
      <c r="AG63" t="str">
        <f t="shared" si="7"/>
        <v>BSA-060 45° Skew Variable Width Abutment 50% Skewed Wings</v>
      </c>
    </row>
    <row r="64" spans="13:33" x14ac:dyDescent="0.25">
      <c r="M64" t="s">
        <v>119</v>
      </c>
      <c r="N64">
        <v>7</v>
      </c>
      <c r="O64" t="str">
        <f t="shared" si="0"/>
        <v>25_50_7</v>
      </c>
      <c r="P64">
        <v>30.84</v>
      </c>
      <c r="Q64">
        <v>0.93</v>
      </c>
      <c r="R64">
        <v>2826</v>
      </c>
      <c r="S64">
        <v>68.7</v>
      </c>
      <c r="T64">
        <f t="shared" si="1"/>
        <v>1.103</v>
      </c>
      <c r="U64">
        <f t="shared" si="2"/>
        <v>55.458960000000005</v>
      </c>
      <c r="V64">
        <f t="shared" si="3"/>
        <v>4644.6264000000001</v>
      </c>
      <c r="W64" s="58" t="str">
        <f t="shared" si="4"/>
        <v>25° Skew Variable Width Abutment 50% Skewed Wings</v>
      </c>
    </row>
    <row r="65" spans="13:23" x14ac:dyDescent="0.25">
      <c r="M65" t="s">
        <v>119</v>
      </c>
      <c r="N65">
        <v>8</v>
      </c>
      <c r="O65" t="str">
        <f t="shared" si="0"/>
        <v>25_50_8</v>
      </c>
      <c r="P65">
        <v>33.020000000000003</v>
      </c>
      <c r="Q65">
        <v>1.01</v>
      </c>
      <c r="R65">
        <v>2826</v>
      </c>
      <c r="S65">
        <v>68.7</v>
      </c>
      <c r="T65">
        <f t="shared" si="1"/>
        <v>1.103</v>
      </c>
      <c r="U65">
        <f t="shared" si="2"/>
        <v>59.756720000000001</v>
      </c>
      <c r="V65">
        <f t="shared" si="3"/>
        <v>4644.6264000000001</v>
      </c>
      <c r="W65" s="58" t="str">
        <f t="shared" si="4"/>
        <v>25° Skew Variable Width Abutment 50% Skewed Wings</v>
      </c>
    </row>
    <row r="66" spans="13:23" x14ac:dyDescent="0.25">
      <c r="M66" t="s">
        <v>119</v>
      </c>
      <c r="N66">
        <v>9</v>
      </c>
      <c r="O66" t="str">
        <f t="shared" si="0"/>
        <v>25_50_9</v>
      </c>
      <c r="P66">
        <v>46.18</v>
      </c>
      <c r="Q66">
        <v>1.19</v>
      </c>
      <c r="R66">
        <v>4287</v>
      </c>
      <c r="S66">
        <v>91</v>
      </c>
      <c r="T66">
        <f t="shared" si="1"/>
        <v>1.103</v>
      </c>
      <c r="U66">
        <f t="shared" si="2"/>
        <v>77.68168</v>
      </c>
      <c r="V66">
        <f t="shared" si="3"/>
        <v>6695.9519999999993</v>
      </c>
      <c r="W66" s="58" t="str">
        <f t="shared" si="4"/>
        <v>25° Skew Variable Width Abutment 50% Skewed Wings</v>
      </c>
    </row>
    <row r="67" spans="13:23" x14ac:dyDescent="0.25">
      <c r="M67" t="s">
        <v>119</v>
      </c>
      <c r="N67">
        <v>10</v>
      </c>
      <c r="O67" t="str">
        <f t="shared" ref="O67:O130" si="8">CONCATENATE(M67,"_",N67)</f>
        <v>25_50_10</v>
      </c>
      <c r="P67">
        <v>48.81</v>
      </c>
      <c r="Q67">
        <v>1.27</v>
      </c>
      <c r="R67">
        <v>4287</v>
      </c>
      <c r="S67">
        <v>91</v>
      </c>
      <c r="T67">
        <f t="shared" ref="T67:T130" si="9">ROUND(1/COS(RADIANS(LEFT(M67,2)*1)),3)</f>
        <v>1.103</v>
      </c>
      <c r="U67">
        <f t="shared" ref="U67:U130" si="10">P67+Q67*B$3*T67</f>
        <v>82.42944</v>
      </c>
      <c r="V67">
        <f t="shared" ref="V67:V130" si="11">R67+S67*B$3*T67</f>
        <v>6695.9519999999993</v>
      </c>
      <c r="W67" s="58" t="str">
        <f t="shared" ref="W67:W130" si="12">CONCATENATE(LEFT(M67,2)*1,"° Skew Variable Width Abutment ",RIGHT(M67,2),"% Skewed Wings")</f>
        <v>25° Skew Variable Width Abutment 50% Skewed Wings</v>
      </c>
    </row>
    <row r="68" spans="13:23" x14ac:dyDescent="0.25">
      <c r="M68" t="s">
        <v>119</v>
      </c>
      <c r="N68">
        <v>11</v>
      </c>
      <c r="O68" t="str">
        <f t="shared" si="8"/>
        <v>25_50_11</v>
      </c>
      <c r="P68">
        <v>63.11</v>
      </c>
      <c r="Q68">
        <v>1.41</v>
      </c>
      <c r="R68">
        <v>6360</v>
      </c>
      <c r="S68">
        <v>120.4</v>
      </c>
      <c r="T68">
        <f t="shared" si="9"/>
        <v>1.103</v>
      </c>
      <c r="U68">
        <f t="shared" si="10"/>
        <v>100.43552</v>
      </c>
      <c r="V68">
        <f t="shared" si="11"/>
        <v>9547.2288000000008</v>
      </c>
      <c r="W68" s="58" t="str">
        <f t="shared" si="12"/>
        <v>25° Skew Variable Width Abutment 50% Skewed Wings</v>
      </c>
    </row>
    <row r="69" spans="13:23" x14ac:dyDescent="0.25">
      <c r="M69" t="s">
        <v>119</v>
      </c>
      <c r="N69">
        <v>12</v>
      </c>
      <c r="O69" t="str">
        <f t="shared" si="8"/>
        <v>25_50_12</v>
      </c>
      <c r="P69">
        <v>66.17</v>
      </c>
      <c r="Q69">
        <v>1.49</v>
      </c>
      <c r="R69">
        <v>6360</v>
      </c>
      <c r="S69">
        <v>120.4</v>
      </c>
      <c r="T69">
        <f t="shared" si="9"/>
        <v>1.103</v>
      </c>
      <c r="U69">
        <f t="shared" si="10"/>
        <v>105.61328</v>
      </c>
      <c r="V69">
        <f t="shared" si="11"/>
        <v>9547.2288000000008</v>
      </c>
      <c r="W69" s="58" t="str">
        <f t="shared" si="12"/>
        <v>25° Skew Variable Width Abutment 50% Skewed Wings</v>
      </c>
    </row>
    <row r="70" spans="13:23" x14ac:dyDescent="0.25">
      <c r="M70" t="s">
        <v>119</v>
      </c>
      <c r="N70">
        <v>13</v>
      </c>
      <c r="O70" t="str">
        <f t="shared" si="8"/>
        <v>25_50_13</v>
      </c>
      <c r="P70">
        <v>82.69</v>
      </c>
      <c r="Q70">
        <v>1.64</v>
      </c>
      <c r="R70">
        <v>9375</v>
      </c>
      <c r="S70">
        <v>161</v>
      </c>
      <c r="T70">
        <f t="shared" si="9"/>
        <v>1.103</v>
      </c>
      <c r="U70">
        <f t="shared" si="10"/>
        <v>126.10408</v>
      </c>
      <c r="V70">
        <f t="shared" si="11"/>
        <v>13636.992</v>
      </c>
      <c r="W70" s="58" t="str">
        <f t="shared" si="12"/>
        <v>25° Skew Variable Width Abutment 50% Skewed Wings</v>
      </c>
    </row>
    <row r="71" spans="13:23" x14ac:dyDescent="0.25">
      <c r="M71" t="s">
        <v>119</v>
      </c>
      <c r="N71">
        <v>14</v>
      </c>
      <c r="O71" t="str">
        <f t="shared" si="8"/>
        <v>25_50_14</v>
      </c>
      <c r="P71">
        <v>96.2</v>
      </c>
      <c r="Q71">
        <v>1.71</v>
      </c>
      <c r="R71">
        <v>9375</v>
      </c>
      <c r="S71">
        <v>161</v>
      </c>
      <c r="T71">
        <f t="shared" si="9"/>
        <v>1.103</v>
      </c>
      <c r="U71">
        <f t="shared" si="10"/>
        <v>141.46711999999999</v>
      </c>
      <c r="V71">
        <f t="shared" si="11"/>
        <v>13636.992</v>
      </c>
      <c r="W71" s="58" t="str">
        <f t="shared" si="12"/>
        <v>25° Skew Variable Width Abutment 50% Skewed Wings</v>
      </c>
    </row>
    <row r="72" spans="13:23" x14ac:dyDescent="0.25">
      <c r="M72" t="s">
        <v>119</v>
      </c>
      <c r="N72">
        <v>15</v>
      </c>
      <c r="O72" t="str">
        <f t="shared" si="8"/>
        <v>25_50_15</v>
      </c>
      <c r="P72">
        <v>102.99</v>
      </c>
      <c r="Q72">
        <v>1.86</v>
      </c>
      <c r="R72">
        <v>12507</v>
      </c>
      <c r="S72">
        <v>198.6</v>
      </c>
      <c r="T72">
        <f t="shared" si="9"/>
        <v>1.103</v>
      </c>
      <c r="U72">
        <f t="shared" si="10"/>
        <v>152.22791999999998</v>
      </c>
      <c r="V72">
        <f t="shared" si="11"/>
        <v>17764.339199999999</v>
      </c>
      <c r="W72" s="58" t="str">
        <f t="shared" si="12"/>
        <v>25° Skew Variable Width Abutment 50% Skewed Wings</v>
      </c>
    </row>
    <row r="73" spans="13:23" x14ac:dyDescent="0.25">
      <c r="M73" t="s">
        <v>119</v>
      </c>
      <c r="N73">
        <v>16</v>
      </c>
      <c r="O73" t="str">
        <f t="shared" si="8"/>
        <v>25_50_16</v>
      </c>
      <c r="P73">
        <v>106.87</v>
      </c>
      <c r="Q73">
        <v>1.93</v>
      </c>
      <c r="R73">
        <v>12507</v>
      </c>
      <c r="S73">
        <v>198.6</v>
      </c>
      <c r="T73">
        <f t="shared" si="9"/>
        <v>1.103</v>
      </c>
      <c r="U73">
        <f t="shared" si="10"/>
        <v>157.96096</v>
      </c>
      <c r="V73">
        <f t="shared" si="11"/>
        <v>17764.339199999999</v>
      </c>
      <c r="W73" s="58" t="str">
        <f t="shared" si="12"/>
        <v>25° Skew Variable Width Abutment 50% Skewed Wings</v>
      </c>
    </row>
    <row r="74" spans="13:23" x14ac:dyDescent="0.25">
      <c r="M74" t="s">
        <v>120</v>
      </c>
      <c r="N74">
        <v>5</v>
      </c>
      <c r="O74" t="str">
        <f t="shared" si="8"/>
        <v>30_50_5</v>
      </c>
      <c r="P74">
        <v>20.57</v>
      </c>
      <c r="Q74">
        <v>0.71</v>
      </c>
      <c r="R74">
        <v>1928</v>
      </c>
      <c r="S74">
        <v>52.8</v>
      </c>
      <c r="T74">
        <f t="shared" si="9"/>
        <v>1.155</v>
      </c>
      <c r="U74">
        <f t="shared" si="10"/>
        <v>40.251199999999997</v>
      </c>
      <c r="V74">
        <f t="shared" si="11"/>
        <v>3391.616</v>
      </c>
      <c r="W74" s="58" t="str">
        <f t="shared" si="12"/>
        <v>30° Skew Variable Width Abutment 50% Skewed Wings</v>
      </c>
    </row>
    <row r="75" spans="13:23" x14ac:dyDescent="0.25">
      <c r="M75" t="s">
        <v>120</v>
      </c>
      <c r="N75">
        <v>6</v>
      </c>
      <c r="O75" t="str">
        <f t="shared" si="8"/>
        <v>30_50_6</v>
      </c>
      <c r="P75">
        <v>22.4</v>
      </c>
      <c r="Q75">
        <v>0.78</v>
      </c>
      <c r="R75">
        <v>1928</v>
      </c>
      <c r="S75">
        <v>52.8</v>
      </c>
      <c r="T75">
        <f t="shared" si="9"/>
        <v>1.155</v>
      </c>
      <c r="U75">
        <f t="shared" si="10"/>
        <v>44.021599999999999</v>
      </c>
      <c r="V75">
        <f t="shared" si="11"/>
        <v>3391.616</v>
      </c>
      <c r="W75" s="58" t="str">
        <f t="shared" si="12"/>
        <v>30° Skew Variable Width Abutment 50% Skewed Wings</v>
      </c>
    </row>
    <row r="76" spans="13:23" x14ac:dyDescent="0.25">
      <c r="M76" t="s">
        <v>120</v>
      </c>
      <c r="N76">
        <v>7</v>
      </c>
      <c r="O76" t="str">
        <f t="shared" si="8"/>
        <v>30_50_7</v>
      </c>
      <c r="P76">
        <v>31.2</v>
      </c>
      <c r="Q76">
        <v>0.93</v>
      </c>
      <c r="R76">
        <v>2849</v>
      </c>
      <c r="S76">
        <v>68.7</v>
      </c>
      <c r="T76">
        <f t="shared" si="9"/>
        <v>1.155</v>
      </c>
      <c r="U76">
        <f t="shared" si="10"/>
        <v>56.979600000000005</v>
      </c>
      <c r="V76">
        <f t="shared" si="11"/>
        <v>4753.3640000000005</v>
      </c>
      <c r="W76" s="58" t="str">
        <f t="shared" si="12"/>
        <v>30° Skew Variable Width Abutment 50% Skewed Wings</v>
      </c>
    </row>
    <row r="77" spans="13:23" x14ac:dyDescent="0.25">
      <c r="M77" t="s">
        <v>120</v>
      </c>
      <c r="N77">
        <v>8</v>
      </c>
      <c r="O77" t="str">
        <f t="shared" si="8"/>
        <v>30_50_8</v>
      </c>
      <c r="P77">
        <v>33.4</v>
      </c>
      <c r="Q77">
        <v>1.01</v>
      </c>
      <c r="R77">
        <v>2849</v>
      </c>
      <c r="S77">
        <v>68.7</v>
      </c>
      <c r="T77">
        <f t="shared" si="9"/>
        <v>1.155</v>
      </c>
      <c r="U77">
        <f t="shared" si="10"/>
        <v>61.397199999999998</v>
      </c>
      <c r="V77">
        <f t="shared" si="11"/>
        <v>4753.3640000000005</v>
      </c>
      <c r="W77" s="58" t="str">
        <f t="shared" si="12"/>
        <v>30° Skew Variable Width Abutment 50% Skewed Wings</v>
      </c>
    </row>
    <row r="78" spans="13:23" x14ac:dyDescent="0.25">
      <c r="M78" t="s">
        <v>120</v>
      </c>
      <c r="N78">
        <v>9</v>
      </c>
      <c r="O78" t="str">
        <f t="shared" si="8"/>
        <v>30_50_9</v>
      </c>
      <c r="P78">
        <v>47.91</v>
      </c>
      <c r="Q78">
        <v>1.19</v>
      </c>
      <c r="R78">
        <v>4426</v>
      </c>
      <c r="S78">
        <v>91</v>
      </c>
      <c r="T78">
        <f t="shared" si="9"/>
        <v>1.155</v>
      </c>
      <c r="U78">
        <f t="shared" si="10"/>
        <v>80.896799999999999</v>
      </c>
      <c r="V78">
        <f t="shared" si="11"/>
        <v>6948.52</v>
      </c>
      <c r="W78" s="58" t="str">
        <f t="shared" si="12"/>
        <v>30° Skew Variable Width Abutment 50% Skewed Wings</v>
      </c>
    </row>
    <row r="79" spans="13:23" x14ac:dyDescent="0.25">
      <c r="M79" t="s">
        <v>120</v>
      </c>
      <c r="N79">
        <v>10</v>
      </c>
      <c r="O79" t="str">
        <f t="shared" si="8"/>
        <v>30_50_10</v>
      </c>
      <c r="P79">
        <v>50.63</v>
      </c>
      <c r="Q79">
        <v>1.27</v>
      </c>
      <c r="R79">
        <v>4426</v>
      </c>
      <c r="S79">
        <v>91</v>
      </c>
      <c r="T79">
        <f t="shared" si="9"/>
        <v>1.155</v>
      </c>
      <c r="U79">
        <f t="shared" si="10"/>
        <v>85.834400000000002</v>
      </c>
      <c r="V79">
        <f t="shared" si="11"/>
        <v>6948.52</v>
      </c>
      <c r="W79" s="58" t="str">
        <f t="shared" si="12"/>
        <v>30° Skew Variable Width Abutment 50% Skewed Wings</v>
      </c>
    </row>
    <row r="80" spans="13:23" x14ac:dyDescent="0.25">
      <c r="M80" t="s">
        <v>120</v>
      </c>
      <c r="N80">
        <v>11</v>
      </c>
      <c r="O80" t="str">
        <f t="shared" si="8"/>
        <v>30_50_11</v>
      </c>
      <c r="P80">
        <v>63.62</v>
      </c>
      <c r="Q80">
        <v>1.41</v>
      </c>
      <c r="R80">
        <v>6401</v>
      </c>
      <c r="S80">
        <v>120.4</v>
      </c>
      <c r="T80">
        <f t="shared" si="9"/>
        <v>1.155</v>
      </c>
      <c r="U80">
        <f t="shared" si="10"/>
        <v>102.70519999999999</v>
      </c>
      <c r="V80">
        <f t="shared" si="11"/>
        <v>9738.4880000000012</v>
      </c>
      <c r="W80" s="58" t="str">
        <f t="shared" si="12"/>
        <v>30° Skew Variable Width Abutment 50% Skewed Wings</v>
      </c>
    </row>
    <row r="81" spans="13:23" x14ac:dyDescent="0.25">
      <c r="M81" t="s">
        <v>120</v>
      </c>
      <c r="N81">
        <v>12</v>
      </c>
      <c r="O81" t="str">
        <f t="shared" si="8"/>
        <v>30_50_12</v>
      </c>
      <c r="P81">
        <v>66.709999999999994</v>
      </c>
      <c r="Q81">
        <v>1.49</v>
      </c>
      <c r="R81">
        <v>6401</v>
      </c>
      <c r="S81">
        <v>120.4</v>
      </c>
      <c r="T81">
        <f t="shared" si="9"/>
        <v>1.155</v>
      </c>
      <c r="U81">
        <f t="shared" si="10"/>
        <v>108.0128</v>
      </c>
      <c r="V81">
        <f t="shared" si="11"/>
        <v>9738.4880000000012</v>
      </c>
      <c r="W81" s="58" t="str">
        <f t="shared" si="12"/>
        <v>30° Skew Variable Width Abutment 50% Skewed Wings</v>
      </c>
    </row>
    <row r="82" spans="13:23" x14ac:dyDescent="0.25">
      <c r="M82" t="s">
        <v>120</v>
      </c>
      <c r="N82">
        <v>13</v>
      </c>
      <c r="O82" t="str">
        <f t="shared" si="8"/>
        <v>30_50_13</v>
      </c>
      <c r="P82">
        <v>83.28</v>
      </c>
      <c r="Q82">
        <v>1.64</v>
      </c>
      <c r="R82">
        <v>9432</v>
      </c>
      <c r="S82">
        <v>161</v>
      </c>
      <c r="T82">
        <f t="shared" si="9"/>
        <v>1.155</v>
      </c>
      <c r="U82">
        <f t="shared" si="10"/>
        <v>128.74080000000001</v>
      </c>
      <c r="V82">
        <f t="shared" si="11"/>
        <v>13894.92</v>
      </c>
      <c r="W82" s="58" t="str">
        <f t="shared" si="12"/>
        <v>30° Skew Variable Width Abutment 50% Skewed Wings</v>
      </c>
    </row>
    <row r="83" spans="13:23" x14ac:dyDescent="0.25">
      <c r="M83" t="s">
        <v>120</v>
      </c>
      <c r="N83">
        <v>14</v>
      </c>
      <c r="O83" t="str">
        <f t="shared" si="8"/>
        <v>30_50_14</v>
      </c>
      <c r="P83">
        <v>86.81</v>
      </c>
      <c r="Q83">
        <v>1.71</v>
      </c>
      <c r="R83">
        <v>9432</v>
      </c>
      <c r="S83">
        <v>161</v>
      </c>
      <c r="T83">
        <f t="shared" si="9"/>
        <v>1.155</v>
      </c>
      <c r="U83">
        <f t="shared" si="10"/>
        <v>134.21120000000002</v>
      </c>
      <c r="V83">
        <f t="shared" si="11"/>
        <v>13894.92</v>
      </c>
      <c r="W83" s="58" t="str">
        <f t="shared" si="12"/>
        <v>30° Skew Variable Width Abutment 50% Skewed Wings</v>
      </c>
    </row>
    <row r="84" spans="13:23" x14ac:dyDescent="0.25">
      <c r="M84" t="s">
        <v>120</v>
      </c>
      <c r="N84">
        <v>15</v>
      </c>
      <c r="O84" t="str">
        <f t="shared" si="8"/>
        <v>30_50_15</v>
      </c>
      <c r="P84">
        <v>107.56</v>
      </c>
      <c r="Q84">
        <v>1.86</v>
      </c>
      <c r="R84">
        <v>13008</v>
      </c>
      <c r="S84">
        <v>198.6</v>
      </c>
      <c r="T84">
        <f t="shared" si="9"/>
        <v>1.155</v>
      </c>
      <c r="U84">
        <f t="shared" si="10"/>
        <v>159.11920000000001</v>
      </c>
      <c r="V84">
        <f t="shared" si="11"/>
        <v>18513.191999999999</v>
      </c>
      <c r="W84" s="58" t="str">
        <f t="shared" si="12"/>
        <v>30° Skew Variable Width Abutment 50% Skewed Wings</v>
      </c>
    </row>
    <row r="85" spans="13:23" x14ac:dyDescent="0.25">
      <c r="M85" t="s">
        <v>120</v>
      </c>
      <c r="N85">
        <v>16</v>
      </c>
      <c r="O85" t="str">
        <f t="shared" si="8"/>
        <v>30_50_16</v>
      </c>
      <c r="P85">
        <v>111.61</v>
      </c>
      <c r="Q85">
        <v>1.93</v>
      </c>
      <c r="R85">
        <v>13008</v>
      </c>
      <c r="S85">
        <v>198.6</v>
      </c>
      <c r="T85">
        <f t="shared" si="9"/>
        <v>1.155</v>
      </c>
      <c r="U85">
        <f t="shared" si="10"/>
        <v>165.1096</v>
      </c>
      <c r="V85">
        <f t="shared" si="11"/>
        <v>18513.191999999999</v>
      </c>
      <c r="W85" s="58" t="str">
        <f t="shared" si="12"/>
        <v>30° Skew Variable Width Abutment 50% Skewed Wings</v>
      </c>
    </row>
    <row r="86" spans="13:23" x14ac:dyDescent="0.25">
      <c r="M86" t="s">
        <v>121</v>
      </c>
      <c r="N86">
        <v>5</v>
      </c>
      <c r="O86" t="str">
        <f t="shared" si="8"/>
        <v>35_50_5</v>
      </c>
      <c r="P86">
        <v>21.74</v>
      </c>
      <c r="Q86">
        <v>0.71</v>
      </c>
      <c r="R86">
        <v>2032</v>
      </c>
      <c r="S86">
        <v>52.8</v>
      </c>
      <c r="T86">
        <f t="shared" si="9"/>
        <v>1.2210000000000001</v>
      </c>
      <c r="U86">
        <f t="shared" si="10"/>
        <v>42.545839999999998</v>
      </c>
      <c r="V86">
        <f t="shared" si="11"/>
        <v>3579.2511999999997</v>
      </c>
      <c r="W86" s="58" t="str">
        <f t="shared" si="12"/>
        <v>35° Skew Variable Width Abutment 50% Skewed Wings</v>
      </c>
    </row>
    <row r="87" spans="13:23" x14ac:dyDescent="0.25">
      <c r="M87" t="s">
        <v>121</v>
      </c>
      <c r="N87">
        <v>6</v>
      </c>
      <c r="O87" t="str">
        <f t="shared" si="8"/>
        <v>35_50_6</v>
      </c>
      <c r="P87">
        <v>23.67</v>
      </c>
      <c r="Q87">
        <v>0.78</v>
      </c>
      <c r="R87">
        <v>2032</v>
      </c>
      <c r="S87">
        <v>52.8</v>
      </c>
      <c r="T87">
        <f t="shared" si="9"/>
        <v>1.2210000000000001</v>
      </c>
      <c r="U87">
        <f t="shared" si="10"/>
        <v>46.527120000000004</v>
      </c>
      <c r="V87">
        <f t="shared" si="11"/>
        <v>3579.2511999999997</v>
      </c>
      <c r="W87" s="58" t="str">
        <f t="shared" si="12"/>
        <v>35° Skew Variable Width Abutment 50% Skewed Wings</v>
      </c>
    </row>
    <row r="88" spans="13:23" x14ac:dyDescent="0.25">
      <c r="M88" t="s">
        <v>121</v>
      </c>
      <c r="N88">
        <v>7</v>
      </c>
      <c r="O88" t="str">
        <f t="shared" si="8"/>
        <v>35_50_7</v>
      </c>
      <c r="P88">
        <v>33.71</v>
      </c>
      <c r="Q88">
        <v>0.93</v>
      </c>
      <c r="R88">
        <v>3062</v>
      </c>
      <c r="S88">
        <v>68.7</v>
      </c>
      <c r="T88">
        <f t="shared" si="9"/>
        <v>1.2210000000000001</v>
      </c>
      <c r="U88">
        <f t="shared" si="10"/>
        <v>60.962720000000004</v>
      </c>
      <c r="V88">
        <f t="shared" si="11"/>
        <v>5075.1848000000009</v>
      </c>
      <c r="W88" s="58" t="str">
        <f t="shared" si="12"/>
        <v>35° Skew Variable Width Abutment 50% Skewed Wings</v>
      </c>
    </row>
    <row r="89" spans="13:23" x14ac:dyDescent="0.25">
      <c r="M89" t="s">
        <v>121</v>
      </c>
      <c r="N89">
        <v>8</v>
      </c>
      <c r="O89" t="str">
        <f t="shared" si="8"/>
        <v>35_50_8</v>
      </c>
      <c r="P89">
        <v>36.090000000000003</v>
      </c>
      <c r="Q89">
        <v>1.01</v>
      </c>
      <c r="R89">
        <v>3062</v>
      </c>
      <c r="S89">
        <v>68.7</v>
      </c>
      <c r="T89">
        <f t="shared" si="9"/>
        <v>1.2210000000000001</v>
      </c>
      <c r="U89">
        <f t="shared" si="10"/>
        <v>65.68704000000001</v>
      </c>
      <c r="V89">
        <f t="shared" si="11"/>
        <v>5075.1848000000009</v>
      </c>
      <c r="W89" s="58" t="str">
        <f t="shared" si="12"/>
        <v>35° Skew Variable Width Abutment 50% Skewed Wings</v>
      </c>
    </row>
    <row r="90" spans="13:23" x14ac:dyDescent="0.25">
      <c r="M90" t="s">
        <v>121</v>
      </c>
      <c r="N90">
        <v>9</v>
      </c>
      <c r="O90" t="str">
        <f t="shared" si="8"/>
        <v>35_50_9</v>
      </c>
      <c r="P90">
        <v>51.05</v>
      </c>
      <c r="Q90">
        <v>1.19</v>
      </c>
      <c r="R90">
        <v>4695</v>
      </c>
      <c r="S90">
        <v>91</v>
      </c>
      <c r="T90">
        <f t="shared" si="9"/>
        <v>1.2210000000000001</v>
      </c>
      <c r="U90">
        <f t="shared" si="10"/>
        <v>85.921760000000006</v>
      </c>
      <c r="V90">
        <f t="shared" si="11"/>
        <v>7361.6640000000007</v>
      </c>
      <c r="W90" s="58" t="str">
        <f t="shared" si="12"/>
        <v>35° Skew Variable Width Abutment 50% Skewed Wings</v>
      </c>
    </row>
    <row r="91" spans="13:23" x14ac:dyDescent="0.25">
      <c r="M91" t="s">
        <v>121</v>
      </c>
      <c r="N91">
        <v>10</v>
      </c>
      <c r="O91" t="str">
        <f t="shared" si="8"/>
        <v>35_50_10</v>
      </c>
      <c r="P91">
        <v>53.95</v>
      </c>
      <c r="Q91">
        <v>1.27</v>
      </c>
      <c r="R91">
        <v>4695</v>
      </c>
      <c r="S91">
        <v>91</v>
      </c>
      <c r="T91">
        <f t="shared" si="9"/>
        <v>1.2210000000000001</v>
      </c>
      <c r="U91">
        <f t="shared" si="10"/>
        <v>91.166080000000008</v>
      </c>
      <c r="V91">
        <f t="shared" si="11"/>
        <v>7361.6640000000007</v>
      </c>
      <c r="W91" s="58" t="str">
        <f t="shared" si="12"/>
        <v>35° Skew Variable Width Abutment 50% Skewed Wings</v>
      </c>
    </row>
    <row r="92" spans="13:23" x14ac:dyDescent="0.25">
      <c r="M92" t="s">
        <v>121</v>
      </c>
      <c r="N92">
        <v>11</v>
      </c>
      <c r="O92" t="str">
        <f t="shared" si="8"/>
        <v>35_50_11</v>
      </c>
      <c r="P92">
        <v>67.290000000000006</v>
      </c>
      <c r="Q92">
        <v>1.41</v>
      </c>
      <c r="R92">
        <v>6745</v>
      </c>
      <c r="S92">
        <v>120.4</v>
      </c>
      <c r="T92">
        <f t="shared" si="9"/>
        <v>1.2210000000000001</v>
      </c>
      <c r="U92">
        <f t="shared" si="10"/>
        <v>108.60864000000001</v>
      </c>
      <c r="V92">
        <f t="shared" si="11"/>
        <v>10273.2016</v>
      </c>
      <c r="W92" s="58" t="str">
        <f t="shared" si="12"/>
        <v>35° Skew Variable Width Abutment 50% Skewed Wings</v>
      </c>
    </row>
    <row r="93" spans="13:23" x14ac:dyDescent="0.25">
      <c r="M93" t="s">
        <v>121</v>
      </c>
      <c r="N93">
        <v>12</v>
      </c>
      <c r="O93" t="str">
        <f t="shared" si="8"/>
        <v>35_50_12</v>
      </c>
      <c r="P93">
        <v>70.56</v>
      </c>
      <c r="Q93">
        <v>1.49</v>
      </c>
      <c r="R93">
        <v>6745</v>
      </c>
      <c r="S93">
        <v>120.4</v>
      </c>
      <c r="T93">
        <f t="shared" si="9"/>
        <v>1.2210000000000001</v>
      </c>
      <c r="U93">
        <f t="shared" si="10"/>
        <v>114.22296</v>
      </c>
      <c r="V93">
        <f t="shared" si="11"/>
        <v>10273.2016</v>
      </c>
      <c r="W93" s="58" t="str">
        <f t="shared" si="12"/>
        <v>35° Skew Variable Width Abutment 50% Skewed Wings</v>
      </c>
    </row>
    <row r="94" spans="13:23" x14ac:dyDescent="0.25">
      <c r="M94" t="s">
        <v>121</v>
      </c>
      <c r="N94">
        <v>13</v>
      </c>
      <c r="O94" t="str">
        <f t="shared" si="8"/>
        <v>35_50_13</v>
      </c>
      <c r="P94">
        <v>89.22</v>
      </c>
      <c r="Q94">
        <v>1.64</v>
      </c>
      <c r="R94">
        <v>10057</v>
      </c>
      <c r="S94">
        <v>161</v>
      </c>
      <c r="T94">
        <f t="shared" si="9"/>
        <v>1.2210000000000001</v>
      </c>
      <c r="U94">
        <f t="shared" si="10"/>
        <v>137.27856</v>
      </c>
      <c r="V94">
        <f t="shared" si="11"/>
        <v>14774.944</v>
      </c>
      <c r="W94" s="58" t="str">
        <f t="shared" si="12"/>
        <v>35° Skew Variable Width Abutment 50% Skewed Wings</v>
      </c>
    </row>
    <row r="95" spans="13:23" x14ac:dyDescent="0.25">
      <c r="M95" t="s">
        <v>121</v>
      </c>
      <c r="N95">
        <v>14</v>
      </c>
      <c r="O95" t="str">
        <f t="shared" si="8"/>
        <v>35_50_14</v>
      </c>
      <c r="P95">
        <v>93.01</v>
      </c>
      <c r="Q95">
        <v>1.71</v>
      </c>
      <c r="R95">
        <v>10057</v>
      </c>
      <c r="S95">
        <v>161</v>
      </c>
      <c r="T95">
        <f t="shared" si="9"/>
        <v>1.2210000000000001</v>
      </c>
      <c r="U95">
        <f t="shared" si="10"/>
        <v>143.11984000000001</v>
      </c>
      <c r="V95">
        <f t="shared" si="11"/>
        <v>14774.944</v>
      </c>
      <c r="W95" s="58" t="str">
        <f t="shared" si="12"/>
        <v>35° Skew Variable Width Abutment 50% Skewed Wings</v>
      </c>
    </row>
    <row r="96" spans="13:23" x14ac:dyDescent="0.25">
      <c r="M96" t="s">
        <v>121</v>
      </c>
      <c r="N96">
        <v>15</v>
      </c>
      <c r="O96" t="str">
        <f t="shared" si="8"/>
        <v>35_50_15</v>
      </c>
      <c r="P96">
        <v>112.3</v>
      </c>
      <c r="Q96">
        <v>1.86</v>
      </c>
      <c r="R96">
        <v>13480</v>
      </c>
      <c r="S96">
        <v>198.6</v>
      </c>
      <c r="T96">
        <f t="shared" si="9"/>
        <v>1.2210000000000001</v>
      </c>
      <c r="U96">
        <f t="shared" si="10"/>
        <v>166.80544</v>
      </c>
      <c r="V96">
        <f t="shared" si="11"/>
        <v>19299.774400000002</v>
      </c>
      <c r="W96" s="58" t="str">
        <f t="shared" si="12"/>
        <v>35° Skew Variable Width Abutment 50% Skewed Wings</v>
      </c>
    </row>
    <row r="97" spans="13:23" x14ac:dyDescent="0.25">
      <c r="M97" t="s">
        <v>121</v>
      </c>
      <c r="N97">
        <v>16</v>
      </c>
      <c r="O97" t="str">
        <f t="shared" si="8"/>
        <v>35_50_16</v>
      </c>
      <c r="P97">
        <v>116.54</v>
      </c>
      <c r="Q97">
        <v>1.93</v>
      </c>
      <c r="R97">
        <v>13480</v>
      </c>
      <c r="S97">
        <v>198.6</v>
      </c>
      <c r="T97">
        <f t="shared" si="9"/>
        <v>1.2210000000000001</v>
      </c>
      <c r="U97">
        <f t="shared" si="10"/>
        <v>173.09672</v>
      </c>
      <c r="V97">
        <f t="shared" si="11"/>
        <v>19299.774400000002</v>
      </c>
      <c r="W97" s="58" t="str">
        <f t="shared" si="12"/>
        <v>35° Skew Variable Width Abutment 50% Skewed Wings</v>
      </c>
    </row>
    <row r="98" spans="13:23" x14ac:dyDescent="0.25">
      <c r="M98" t="s">
        <v>122</v>
      </c>
      <c r="N98">
        <v>5</v>
      </c>
      <c r="O98" t="str">
        <f t="shared" si="8"/>
        <v>40_50_5</v>
      </c>
      <c r="P98">
        <v>23.01</v>
      </c>
      <c r="Q98">
        <v>0.71</v>
      </c>
      <c r="R98">
        <v>2143</v>
      </c>
      <c r="S98">
        <v>52.8</v>
      </c>
      <c r="T98">
        <f t="shared" si="9"/>
        <v>1.3049999999999999</v>
      </c>
      <c r="U98">
        <f t="shared" si="10"/>
        <v>45.247199999999999</v>
      </c>
      <c r="V98">
        <f t="shared" si="11"/>
        <v>3796.6959999999999</v>
      </c>
      <c r="W98" s="58" t="str">
        <f t="shared" si="12"/>
        <v>40° Skew Variable Width Abutment 50% Skewed Wings</v>
      </c>
    </row>
    <row r="99" spans="13:23" x14ac:dyDescent="0.25">
      <c r="M99" t="s">
        <v>122</v>
      </c>
      <c r="N99">
        <v>6</v>
      </c>
      <c r="O99" t="str">
        <f t="shared" si="8"/>
        <v>40_50_6</v>
      </c>
      <c r="P99">
        <v>25.06</v>
      </c>
      <c r="Q99">
        <v>0.78</v>
      </c>
      <c r="R99">
        <v>2143</v>
      </c>
      <c r="S99">
        <v>52.8</v>
      </c>
      <c r="T99">
        <f t="shared" si="9"/>
        <v>1.3049999999999999</v>
      </c>
      <c r="U99">
        <f t="shared" si="10"/>
        <v>49.489599999999996</v>
      </c>
      <c r="V99">
        <f t="shared" si="11"/>
        <v>3796.6959999999999</v>
      </c>
      <c r="W99" s="58" t="str">
        <f t="shared" si="12"/>
        <v>40° Skew Variable Width Abutment 50% Skewed Wings</v>
      </c>
    </row>
    <row r="100" spans="13:23" x14ac:dyDescent="0.25">
      <c r="M100" t="s">
        <v>122</v>
      </c>
      <c r="N100">
        <v>7</v>
      </c>
      <c r="O100" t="str">
        <f t="shared" si="8"/>
        <v>40_50_7</v>
      </c>
      <c r="P100">
        <v>36.35</v>
      </c>
      <c r="Q100">
        <v>0.93</v>
      </c>
      <c r="R100">
        <v>3263</v>
      </c>
      <c r="S100">
        <v>68.7</v>
      </c>
      <c r="T100">
        <f t="shared" si="9"/>
        <v>1.3049999999999999</v>
      </c>
      <c r="U100">
        <f t="shared" si="10"/>
        <v>65.477599999999995</v>
      </c>
      <c r="V100">
        <f t="shared" si="11"/>
        <v>5414.6840000000002</v>
      </c>
      <c r="W100" s="58" t="str">
        <f t="shared" si="12"/>
        <v>40° Skew Variable Width Abutment 50% Skewed Wings</v>
      </c>
    </row>
    <row r="101" spans="13:23" x14ac:dyDescent="0.25">
      <c r="M101" t="s">
        <v>122</v>
      </c>
      <c r="N101">
        <v>8</v>
      </c>
      <c r="O101" t="str">
        <f t="shared" si="8"/>
        <v>40_50_8</v>
      </c>
      <c r="P101">
        <v>38.92</v>
      </c>
      <c r="Q101">
        <v>1.01</v>
      </c>
      <c r="R101">
        <v>3263</v>
      </c>
      <c r="S101">
        <v>68.7</v>
      </c>
      <c r="T101">
        <f t="shared" si="9"/>
        <v>1.3049999999999999</v>
      </c>
      <c r="U101">
        <f t="shared" si="10"/>
        <v>70.553200000000004</v>
      </c>
      <c r="V101">
        <f t="shared" si="11"/>
        <v>5414.6840000000002</v>
      </c>
      <c r="W101" s="58" t="str">
        <f t="shared" si="12"/>
        <v>40° Skew Variable Width Abutment 50% Skewed Wings</v>
      </c>
    </row>
    <row r="102" spans="13:23" x14ac:dyDescent="0.25">
      <c r="M102" t="s">
        <v>122</v>
      </c>
      <c r="N102">
        <v>9</v>
      </c>
      <c r="O102" t="str">
        <f t="shared" si="8"/>
        <v>40_50_9</v>
      </c>
      <c r="P102">
        <v>54.35</v>
      </c>
      <c r="Q102">
        <v>1.19</v>
      </c>
      <c r="R102">
        <v>4975</v>
      </c>
      <c r="S102">
        <v>91</v>
      </c>
      <c r="T102">
        <f t="shared" si="9"/>
        <v>1.3049999999999999</v>
      </c>
      <c r="U102">
        <f t="shared" si="10"/>
        <v>91.620800000000003</v>
      </c>
      <c r="V102">
        <f t="shared" si="11"/>
        <v>7825.12</v>
      </c>
      <c r="W102" s="58" t="str">
        <f t="shared" si="12"/>
        <v>40° Skew Variable Width Abutment 50% Skewed Wings</v>
      </c>
    </row>
    <row r="103" spans="13:23" x14ac:dyDescent="0.25">
      <c r="M103" t="s">
        <v>122</v>
      </c>
      <c r="N103">
        <v>10</v>
      </c>
      <c r="O103" t="str">
        <f t="shared" si="8"/>
        <v>40_50_10</v>
      </c>
      <c r="P103">
        <v>57.43</v>
      </c>
      <c r="Q103">
        <v>1.27</v>
      </c>
      <c r="R103">
        <v>4975</v>
      </c>
      <c r="S103">
        <v>91</v>
      </c>
      <c r="T103">
        <f t="shared" si="9"/>
        <v>1.3049999999999999</v>
      </c>
      <c r="U103">
        <f t="shared" si="10"/>
        <v>97.206400000000002</v>
      </c>
      <c r="V103">
        <f t="shared" si="11"/>
        <v>7825.12</v>
      </c>
      <c r="W103" s="58" t="str">
        <f t="shared" si="12"/>
        <v>40° Skew Variable Width Abutment 50% Skewed Wings</v>
      </c>
    </row>
    <row r="104" spans="13:23" x14ac:dyDescent="0.25">
      <c r="M104" t="s">
        <v>122</v>
      </c>
      <c r="N104">
        <v>11</v>
      </c>
      <c r="O104" t="str">
        <f t="shared" si="8"/>
        <v>40_50_11</v>
      </c>
      <c r="P104">
        <v>71.150000000000006</v>
      </c>
      <c r="Q104">
        <v>1.41</v>
      </c>
      <c r="R104">
        <v>7104</v>
      </c>
      <c r="S104">
        <v>120.4</v>
      </c>
      <c r="T104">
        <f t="shared" si="9"/>
        <v>1.3049999999999999</v>
      </c>
      <c r="U104">
        <f t="shared" si="10"/>
        <v>115.3112</v>
      </c>
      <c r="V104">
        <f t="shared" si="11"/>
        <v>10874.928</v>
      </c>
      <c r="W104" s="58" t="str">
        <f t="shared" si="12"/>
        <v>40° Skew Variable Width Abutment 50% Skewed Wings</v>
      </c>
    </row>
    <row r="105" spans="13:23" x14ac:dyDescent="0.25">
      <c r="M105" t="s">
        <v>122</v>
      </c>
      <c r="N105">
        <v>12</v>
      </c>
      <c r="O105" t="str">
        <f t="shared" si="8"/>
        <v>40_50_12</v>
      </c>
      <c r="P105">
        <v>74.61</v>
      </c>
      <c r="Q105">
        <v>1.49</v>
      </c>
      <c r="R105">
        <v>7104</v>
      </c>
      <c r="S105">
        <v>120.4</v>
      </c>
      <c r="T105">
        <f t="shared" si="9"/>
        <v>1.3049999999999999</v>
      </c>
      <c r="U105">
        <f t="shared" si="10"/>
        <v>121.27679999999999</v>
      </c>
      <c r="V105">
        <f t="shared" si="11"/>
        <v>10874.928</v>
      </c>
      <c r="W105" s="58" t="str">
        <f t="shared" si="12"/>
        <v>40° Skew Variable Width Abutment 50% Skewed Wings</v>
      </c>
    </row>
    <row r="106" spans="13:23" x14ac:dyDescent="0.25">
      <c r="M106" t="s">
        <v>122</v>
      </c>
      <c r="N106">
        <v>13</v>
      </c>
      <c r="O106" t="str">
        <f t="shared" si="8"/>
        <v>40_50_13</v>
      </c>
      <c r="P106">
        <v>73.64</v>
      </c>
      <c r="Q106">
        <v>1.64</v>
      </c>
      <c r="R106">
        <v>10462</v>
      </c>
      <c r="S106">
        <v>161</v>
      </c>
      <c r="T106">
        <f t="shared" si="9"/>
        <v>1.3049999999999999</v>
      </c>
      <c r="U106">
        <f t="shared" si="10"/>
        <v>125.00479999999999</v>
      </c>
      <c r="V106">
        <f t="shared" si="11"/>
        <v>15504.52</v>
      </c>
      <c r="W106" s="58" t="str">
        <f t="shared" si="12"/>
        <v>40° Skew Variable Width Abutment 50% Skewed Wings</v>
      </c>
    </row>
    <row r="107" spans="13:23" x14ac:dyDescent="0.25">
      <c r="M107" t="s">
        <v>122</v>
      </c>
      <c r="N107">
        <v>14</v>
      </c>
      <c r="O107" t="str">
        <f t="shared" si="8"/>
        <v>40_50_14</v>
      </c>
      <c r="P107">
        <v>97.62</v>
      </c>
      <c r="Q107">
        <v>1.71</v>
      </c>
      <c r="R107">
        <v>10462</v>
      </c>
      <c r="S107">
        <v>161</v>
      </c>
      <c r="T107">
        <f t="shared" si="9"/>
        <v>1.3049999999999999</v>
      </c>
      <c r="U107">
        <f t="shared" si="10"/>
        <v>151.1772</v>
      </c>
      <c r="V107">
        <f t="shared" si="11"/>
        <v>15504.52</v>
      </c>
      <c r="W107" s="58" t="str">
        <f t="shared" si="12"/>
        <v>40° Skew Variable Width Abutment 50% Skewed Wings</v>
      </c>
    </row>
    <row r="108" spans="13:23" x14ac:dyDescent="0.25">
      <c r="M108" t="s">
        <v>122</v>
      </c>
      <c r="N108">
        <v>15</v>
      </c>
      <c r="O108" t="str">
        <f t="shared" si="8"/>
        <v>40_50_15</v>
      </c>
      <c r="P108">
        <v>119.24</v>
      </c>
      <c r="Q108">
        <v>1.86</v>
      </c>
      <c r="R108">
        <v>14253</v>
      </c>
      <c r="S108">
        <v>198.6</v>
      </c>
      <c r="T108">
        <f t="shared" si="9"/>
        <v>1.3049999999999999</v>
      </c>
      <c r="U108">
        <f t="shared" si="10"/>
        <v>177.49519999999998</v>
      </c>
      <c r="V108">
        <f t="shared" si="11"/>
        <v>20473.151999999998</v>
      </c>
      <c r="W108" s="58" t="str">
        <f t="shared" si="12"/>
        <v>40° Skew Variable Width Abutment 50% Skewed Wings</v>
      </c>
    </row>
    <row r="109" spans="13:23" x14ac:dyDescent="0.25">
      <c r="M109" t="s">
        <v>122</v>
      </c>
      <c r="N109">
        <v>16</v>
      </c>
      <c r="O109" t="str">
        <f t="shared" si="8"/>
        <v>40_50_16</v>
      </c>
      <c r="P109">
        <v>123.73</v>
      </c>
      <c r="Q109">
        <v>1.93</v>
      </c>
      <c r="R109">
        <v>14253</v>
      </c>
      <c r="S109">
        <v>198.6</v>
      </c>
      <c r="T109">
        <f t="shared" si="9"/>
        <v>1.3049999999999999</v>
      </c>
      <c r="U109">
        <f t="shared" si="10"/>
        <v>184.17759999999998</v>
      </c>
      <c r="V109">
        <f t="shared" si="11"/>
        <v>20473.151999999998</v>
      </c>
      <c r="W109" s="58" t="str">
        <f t="shared" si="12"/>
        <v>40° Skew Variable Width Abutment 50% Skewed Wings</v>
      </c>
    </row>
    <row r="110" spans="13:23" x14ac:dyDescent="0.25">
      <c r="M110" t="s">
        <v>123</v>
      </c>
      <c r="N110">
        <v>5</v>
      </c>
      <c r="O110" t="str">
        <f t="shared" si="8"/>
        <v>45_50_5</v>
      </c>
      <c r="P110">
        <v>24.42</v>
      </c>
      <c r="Q110">
        <v>0.71</v>
      </c>
      <c r="R110">
        <v>2258</v>
      </c>
      <c r="S110">
        <v>52.8</v>
      </c>
      <c r="T110">
        <f t="shared" si="9"/>
        <v>1.4139999999999999</v>
      </c>
      <c r="U110">
        <f t="shared" si="10"/>
        <v>48.514560000000003</v>
      </c>
      <c r="V110">
        <f t="shared" si="11"/>
        <v>4049.8207999999995</v>
      </c>
      <c r="W110" s="58" t="str">
        <f t="shared" si="12"/>
        <v>45° Skew Variable Width Abutment 50% Skewed Wings</v>
      </c>
    </row>
    <row r="111" spans="13:23" x14ac:dyDescent="0.25">
      <c r="M111" t="s">
        <v>123</v>
      </c>
      <c r="N111">
        <v>6</v>
      </c>
      <c r="O111" t="str">
        <f t="shared" si="8"/>
        <v>45_50_6</v>
      </c>
      <c r="P111">
        <v>26.59</v>
      </c>
      <c r="Q111">
        <v>0.78</v>
      </c>
      <c r="R111">
        <v>2258</v>
      </c>
      <c r="S111">
        <v>52.8</v>
      </c>
      <c r="T111">
        <f t="shared" si="9"/>
        <v>1.4139999999999999</v>
      </c>
      <c r="U111">
        <f t="shared" si="10"/>
        <v>53.060079999999999</v>
      </c>
      <c r="V111">
        <f t="shared" si="11"/>
        <v>4049.8207999999995</v>
      </c>
      <c r="W111" s="58" t="str">
        <f t="shared" si="12"/>
        <v>45° Skew Variable Width Abutment 50% Skewed Wings</v>
      </c>
    </row>
    <row r="112" spans="13:23" x14ac:dyDescent="0.25">
      <c r="M112" t="s">
        <v>123</v>
      </c>
      <c r="N112">
        <v>7</v>
      </c>
      <c r="O112" t="str">
        <f t="shared" si="8"/>
        <v>45_50_7</v>
      </c>
      <c r="P112">
        <v>38.130000000000003</v>
      </c>
      <c r="Q112">
        <v>0.93</v>
      </c>
      <c r="R112">
        <v>3425</v>
      </c>
      <c r="S112">
        <v>68.7</v>
      </c>
      <c r="T112">
        <f t="shared" si="9"/>
        <v>1.4139999999999999</v>
      </c>
      <c r="U112">
        <f t="shared" si="10"/>
        <v>69.690480000000008</v>
      </c>
      <c r="V112">
        <f t="shared" si="11"/>
        <v>5756.4032000000007</v>
      </c>
      <c r="W112" s="58" t="str">
        <f t="shared" si="12"/>
        <v>45° Skew Variable Width Abutment 50% Skewed Wings</v>
      </c>
    </row>
    <row r="113" spans="13:23" x14ac:dyDescent="0.25">
      <c r="M113" t="s">
        <v>123</v>
      </c>
      <c r="N113">
        <v>8</v>
      </c>
      <c r="O113" t="str">
        <f t="shared" si="8"/>
        <v>45_50_8</v>
      </c>
      <c r="P113">
        <v>40.82</v>
      </c>
      <c r="Q113">
        <v>1.01</v>
      </c>
      <c r="R113">
        <v>3425</v>
      </c>
      <c r="S113">
        <v>68.7</v>
      </c>
      <c r="T113">
        <f t="shared" si="9"/>
        <v>1.4139999999999999</v>
      </c>
      <c r="U113">
        <f t="shared" si="10"/>
        <v>75.095359999999999</v>
      </c>
      <c r="V113">
        <f t="shared" si="11"/>
        <v>5756.4032000000007</v>
      </c>
      <c r="W113" s="58" t="str">
        <f t="shared" si="12"/>
        <v>45° Skew Variable Width Abutment 50% Skewed Wings</v>
      </c>
    </row>
    <row r="114" spans="13:23" x14ac:dyDescent="0.25">
      <c r="M114" t="s">
        <v>123</v>
      </c>
      <c r="N114">
        <v>9</v>
      </c>
      <c r="O114" t="str">
        <f t="shared" si="8"/>
        <v>45_50_9</v>
      </c>
      <c r="P114">
        <v>56.56</v>
      </c>
      <c r="Q114">
        <v>1.19</v>
      </c>
      <c r="R114">
        <v>5154</v>
      </c>
      <c r="S114">
        <v>91</v>
      </c>
      <c r="T114">
        <f t="shared" si="9"/>
        <v>1.4139999999999999</v>
      </c>
      <c r="U114">
        <f t="shared" si="10"/>
        <v>96.943839999999994</v>
      </c>
      <c r="V114">
        <f t="shared" si="11"/>
        <v>8242.1759999999995</v>
      </c>
      <c r="W114" s="58" t="str">
        <f t="shared" si="12"/>
        <v>45° Skew Variable Width Abutment 50% Skewed Wings</v>
      </c>
    </row>
    <row r="115" spans="13:23" x14ac:dyDescent="0.25">
      <c r="M115" t="s">
        <v>123</v>
      </c>
      <c r="N115">
        <v>10</v>
      </c>
      <c r="O115" t="str">
        <f t="shared" si="8"/>
        <v>45_50_10</v>
      </c>
      <c r="P115">
        <v>59.77</v>
      </c>
      <c r="Q115">
        <v>1.27</v>
      </c>
      <c r="R115">
        <v>5154</v>
      </c>
      <c r="S115">
        <v>91</v>
      </c>
      <c r="T115">
        <f t="shared" si="9"/>
        <v>1.4139999999999999</v>
      </c>
      <c r="U115">
        <f t="shared" si="10"/>
        <v>102.86872</v>
      </c>
      <c r="V115">
        <f t="shared" si="11"/>
        <v>8242.1759999999995</v>
      </c>
      <c r="W115" s="58" t="str">
        <f t="shared" si="12"/>
        <v>45° Skew Variable Width Abutment 50% Skewed Wings</v>
      </c>
    </row>
    <row r="116" spans="13:23" x14ac:dyDescent="0.25">
      <c r="M116" t="s">
        <v>123</v>
      </c>
      <c r="N116">
        <v>11</v>
      </c>
      <c r="O116" t="str">
        <f t="shared" si="8"/>
        <v>45_50_11</v>
      </c>
      <c r="P116">
        <v>76.760000000000005</v>
      </c>
      <c r="Q116">
        <v>1.41</v>
      </c>
      <c r="R116">
        <v>7598</v>
      </c>
      <c r="S116">
        <v>120.4</v>
      </c>
      <c r="T116">
        <f t="shared" si="9"/>
        <v>1.4139999999999999</v>
      </c>
      <c r="U116">
        <f t="shared" si="10"/>
        <v>124.60975999999999</v>
      </c>
      <c r="V116">
        <f t="shared" si="11"/>
        <v>11683.894400000001</v>
      </c>
      <c r="W116" s="58" t="str">
        <f t="shared" si="12"/>
        <v>45° Skew Variable Width Abutment 50% Skewed Wings</v>
      </c>
    </row>
    <row r="117" spans="13:23" x14ac:dyDescent="0.25">
      <c r="M117" t="s">
        <v>123</v>
      </c>
      <c r="N117">
        <v>12</v>
      </c>
      <c r="O117" t="str">
        <f t="shared" si="8"/>
        <v>45_50_12</v>
      </c>
      <c r="P117">
        <v>80.489999999999995</v>
      </c>
      <c r="Q117">
        <v>1.49</v>
      </c>
      <c r="R117">
        <v>7598</v>
      </c>
      <c r="S117">
        <v>120.4</v>
      </c>
      <c r="T117">
        <f t="shared" si="9"/>
        <v>1.4139999999999999</v>
      </c>
      <c r="U117">
        <f t="shared" si="10"/>
        <v>131.05464000000001</v>
      </c>
      <c r="V117">
        <f t="shared" si="11"/>
        <v>11683.894400000001</v>
      </c>
      <c r="W117" s="58" t="str">
        <f t="shared" si="12"/>
        <v>45° Skew Variable Width Abutment 50% Skewed Wings</v>
      </c>
    </row>
    <row r="118" spans="13:23" x14ac:dyDescent="0.25">
      <c r="M118" t="s">
        <v>123</v>
      </c>
      <c r="N118">
        <v>13</v>
      </c>
      <c r="O118" t="str">
        <f t="shared" si="8"/>
        <v>45_50_13</v>
      </c>
      <c r="P118">
        <v>100.06</v>
      </c>
      <c r="Q118">
        <v>1.64</v>
      </c>
      <c r="R118">
        <v>11157</v>
      </c>
      <c r="S118">
        <v>161</v>
      </c>
      <c r="T118">
        <f t="shared" si="9"/>
        <v>1.4139999999999999</v>
      </c>
      <c r="U118">
        <f t="shared" si="10"/>
        <v>155.71503999999999</v>
      </c>
      <c r="V118">
        <f t="shared" si="11"/>
        <v>16620.696</v>
      </c>
      <c r="W118" s="58" t="str">
        <f t="shared" si="12"/>
        <v>45° Skew Variable Width Abutment 50% Skewed Wings</v>
      </c>
    </row>
    <row r="119" spans="13:23" x14ac:dyDescent="0.25">
      <c r="M119" t="s">
        <v>123</v>
      </c>
      <c r="N119">
        <v>14</v>
      </c>
      <c r="O119" t="str">
        <f t="shared" si="8"/>
        <v>45_50_14</v>
      </c>
      <c r="P119">
        <v>104.31</v>
      </c>
      <c r="Q119">
        <v>1.71</v>
      </c>
      <c r="R119">
        <v>11157</v>
      </c>
      <c r="S119">
        <v>161</v>
      </c>
      <c r="T119">
        <f t="shared" si="9"/>
        <v>1.4139999999999999</v>
      </c>
      <c r="U119">
        <f t="shared" si="10"/>
        <v>162.34055999999998</v>
      </c>
      <c r="V119">
        <f t="shared" si="11"/>
        <v>16620.696</v>
      </c>
      <c r="W119" s="58" t="str">
        <f t="shared" si="12"/>
        <v>45° Skew Variable Width Abutment 50% Skewed Wings</v>
      </c>
    </row>
    <row r="120" spans="13:23" x14ac:dyDescent="0.25">
      <c r="M120" t="s">
        <v>123</v>
      </c>
      <c r="N120">
        <v>15</v>
      </c>
      <c r="O120" t="str">
        <f t="shared" si="8"/>
        <v>45_50_15</v>
      </c>
      <c r="P120">
        <v>124.53</v>
      </c>
      <c r="Q120">
        <v>1.86</v>
      </c>
      <c r="R120">
        <v>14883</v>
      </c>
      <c r="S120">
        <v>198.6</v>
      </c>
      <c r="T120">
        <f t="shared" si="9"/>
        <v>1.4139999999999999</v>
      </c>
      <c r="U120">
        <f t="shared" si="10"/>
        <v>187.65096</v>
      </c>
      <c r="V120">
        <f t="shared" si="11"/>
        <v>21622.689599999998</v>
      </c>
      <c r="W120" s="58" t="str">
        <f t="shared" si="12"/>
        <v>45° Skew Variable Width Abutment 50% Skewed Wings</v>
      </c>
    </row>
    <row r="121" spans="13:23" x14ac:dyDescent="0.25">
      <c r="M121" t="s">
        <v>123</v>
      </c>
      <c r="N121">
        <v>16</v>
      </c>
      <c r="O121" t="str">
        <f t="shared" si="8"/>
        <v>45_50_16</v>
      </c>
      <c r="P121">
        <v>129.22</v>
      </c>
      <c r="Q121">
        <v>1.93</v>
      </c>
      <c r="R121">
        <v>14883</v>
      </c>
      <c r="S121">
        <v>198.6</v>
      </c>
      <c r="T121">
        <f t="shared" si="9"/>
        <v>1.4139999999999999</v>
      </c>
      <c r="U121">
        <f t="shared" si="10"/>
        <v>194.71647999999999</v>
      </c>
      <c r="V121">
        <f t="shared" si="11"/>
        <v>21622.689599999998</v>
      </c>
      <c r="W121" s="58" t="str">
        <f t="shared" si="12"/>
        <v>45° Skew Variable Width Abutment 50% Skewed Wings</v>
      </c>
    </row>
    <row r="122" spans="13:23" x14ac:dyDescent="0.25">
      <c r="M122" t="s">
        <v>124</v>
      </c>
      <c r="N122">
        <v>5</v>
      </c>
      <c r="O122" t="str">
        <f t="shared" si="8"/>
        <v>00_25_5</v>
      </c>
      <c r="P122">
        <v>20.59</v>
      </c>
      <c r="Q122">
        <v>0.71</v>
      </c>
      <c r="R122">
        <v>1993</v>
      </c>
      <c r="S122">
        <v>52.8</v>
      </c>
      <c r="T122">
        <f t="shared" si="9"/>
        <v>1</v>
      </c>
      <c r="U122">
        <f t="shared" si="10"/>
        <v>37.629999999999995</v>
      </c>
      <c r="V122">
        <f t="shared" si="11"/>
        <v>3260.2</v>
      </c>
      <c r="W122" s="58" t="str">
        <f t="shared" si="12"/>
        <v>0° Skew Variable Width Abutment 25% Skewed Wings</v>
      </c>
    </row>
    <row r="123" spans="13:23" x14ac:dyDescent="0.25">
      <c r="M123" t="s">
        <v>124</v>
      </c>
      <c r="N123">
        <v>6</v>
      </c>
      <c r="O123" t="str">
        <f t="shared" si="8"/>
        <v>00_25_6</v>
      </c>
      <c r="P123">
        <v>22.42</v>
      </c>
      <c r="Q123">
        <v>0.78</v>
      </c>
      <c r="R123">
        <v>1993</v>
      </c>
      <c r="S123">
        <v>52.8</v>
      </c>
      <c r="T123">
        <f t="shared" si="9"/>
        <v>1</v>
      </c>
      <c r="U123">
        <f t="shared" si="10"/>
        <v>41.14</v>
      </c>
      <c r="V123">
        <f t="shared" si="11"/>
        <v>3260.2</v>
      </c>
      <c r="W123" s="58" t="str">
        <f t="shared" si="12"/>
        <v>0° Skew Variable Width Abutment 25% Skewed Wings</v>
      </c>
    </row>
    <row r="124" spans="13:23" x14ac:dyDescent="0.25">
      <c r="M124" t="s">
        <v>124</v>
      </c>
      <c r="N124">
        <v>7</v>
      </c>
      <c r="O124" t="str">
        <f t="shared" si="8"/>
        <v>00_25_7</v>
      </c>
      <c r="P124">
        <v>30.2</v>
      </c>
      <c r="Q124">
        <v>0.93</v>
      </c>
      <c r="R124">
        <v>2856</v>
      </c>
      <c r="S124">
        <v>68.7</v>
      </c>
      <c r="T124">
        <f t="shared" si="9"/>
        <v>1</v>
      </c>
      <c r="U124">
        <f t="shared" si="10"/>
        <v>52.519999999999996</v>
      </c>
      <c r="V124">
        <f t="shared" si="11"/>
        <v>4504.8</v>
      </c>
      <c r="W124" s="58" t="str">
        <f t="shared" si="12"/>
        <v>0° Skew Variable Width Abutment 25% Skewed Wings</v>
      </c>
    </row>
    <row r="125" spans="13:23" x14ac:dyDescent="0.25">
      <c r="M125" t="s">
        <v>124</v>
      </c>
      <c r="N125">
        <v>8</v>
      </c>
      <c r="O125" t="str">
        <f t="shared" si="8"/>
        <v>00_25_8</v>
      </c>
      <c r="P125">
        <v>32.33</v>
      </c>
      <c r="Q125">
        <v>1.01</v>
      </c>
      <c r="R125">
        <v>2856</v>
      </c>
      <c r="S125">
        <v>68.7</v>
      </c>
      <c r="T125">
        <f t="shared" si="9"/>
        <v>1</v>
      </c>
      <c r="U125">
        <f t="shared" si="10"/>
        <v>56.57</v>
      </c>
      <c r="V125">
        <f t="shared" si="11"/>
        <v>4504.8</v>
      </c>
      <c r="W125" s="58" t="str">
        <f t="shared" si="12"/>
        <v>0° Skew Variable Width Abutment 25% Skewed Wings</v>
      </c>
    </row>
    <row r="126" spans="13:23" x14ac:dyDescent="0.25">
      <c r="M126" t="s">
        <v>124</v>
      </c>
      <c r="N126">
        <v>9</v>
      </c>
      <c r="O126" t="str">
        <f t="shared" si="8"/>
        <v>00_25_9</v>
      </c>
      <c r="P126">
        <v>47.95</v>
      </c>
      <c r="Q126">
        <v>1.19</v>
      </c>
      <c r="R126">
        <v>4571</v>
      </c>
      <c r="S126">
        <v>91</v>
      </c>
      <c r="T126">
        <f t="shared" si="9"/>
        <v>1</v>
      </c>
      <c r="U126">
        <f t="shared" si="10"/>
        <v>76.510000000000005</v>
      </c>
      <c r="V126">
        <f t="shared" si="11"/>
        <v>6755</v>
      </c>
      <c r="W126" s="58" t="str">
        <f t="shared" si="12"/>
        <v>0° Skew Variable Width Abutment 25% Skewed Wings</v>
      </c>
    </row>
    <row r="127" spans="13:23" x14ac:dyDescent="0.25">
      <c r="M127" t="s">
        <v>124</v>
      </c>
      <c r="N127">
        <v>10</v>
      </c>
      <c r="O127" t="str">
        <f t="shared" si="8"/>
        <v>00_25_10</v>
      </c>
      <c r="P127">
        <v>50.68</v>
      </c>
      <c r="Q127">
        <v>1.27</v>
      </c>
      <c r="R127">
        <v>4571</v>
      </c>
      <c r="S127">
        <v>91</v>
      </c>
      <c r="T127">
        <f t="shared" si="9"/>
        <v>1</v>
      </c>
      <c r="U127">
        <f t="shared" si="10"/>
        <v>81.16</v>
      </c>
      <c r="V127">
        <f t="shared" si="11"/>
        <v>6755</v>
      </c>
      <c r="W127" s="58" t="str">
        <f t="shared" si="12"/>
        <v>0° Skew Variable Width Abutment 25% Skewed Wings</v>
      </c>
    </row>
    <row r="128" spans="13:23" x14ac:dyDescent="0.25">
      <c r="M128" t="s">
        <v>124</v>
      </c>
      <c r="N128">
        <v>11</v>
      </c>
      <c r="O128" t="str">
        <f t="shared" si="8"/>
        <v>00_25_11</v>
      </c>
      <c r="P128">
        <v>62.16</v>
      </c>
      <c r="Q128">
        <v>1.41</v>
      </c>
      <c r="R128">
        <v>6513</v>
      </c>
      <c r="S128">
        <v>120.4</v>
      </c>
      <c r="T128">
        <f t="shared" si="9"/>
        <v>1</v>
      </c>
      <c r="U128">
        <f t="shared" si="10"/>
        <v>96</v>
      </c>
      <c r="V128">
        <f t="shared" si="11"/>
        <v>9402.6</v>
      </c>
      <c r="W128" s="58" t="str">
        <f t="shared" si="12"/>
        <v>0° Skew Variable Width Abutment 25% Skewed Wings</v>
      </c>
    </row>
    <row r="129" spans="13:23" x14ac:dyDescent="0.25">
      <c r="M129" t="s">
        <v>124</v>
      </c>
      <c r="N129">
        <v>12</v>
      </c>
      <c r="O129" t="str">
        <f t="shared" si="8"/>
        <v>00_25_12</v>
      </c>
      <c r="P129">
        <v>65.180000000000007</v>
      </c>
      <c r="Q129">
        <v>1.49</v>
      </c>
      <c r="R129">
        <v>6513</v>
      </c>
      <c r="S129">
        <v>120.4</v>
      </c>
      <c r="T129">
        <f t="shared" si="9"/>
        <v>1</v>
      </c>
      <c r="U129">
        <f t="shared" si="10"/>
        <v>100.94</v>
      </c>
      <c r="V129">
        <f t="shared" si="11"/>
        <v>9402.6</v>
      </c>
      <c r="W129" s="58" t="str">
        <f t="shared" si="12"/>
        <v>0° Skew Variable Width Abutment 25% Skewed Wings</v>
      </c>
    </row>
    <row r="130" spans="13:23" x14ac:dyDescent="0.25">
      <c r="M130" t="s">
        <v>124</v>
      </c>
      <c r="N130">
        <v>13</v>
      </c>
      <c r="O130" t="str">
        <f t="shared" si="8"/>
        <v>00_25_13</v>
      </c>
      <c r="P130">
        <v>81.61</v>
      </c>
      <c r="Q130">
        <v>1.64</v>
      </c>
      <c r="R130">
        <v>9594</v>
      </c>
      <c r="S130">
        <v>161</v>
      </c>
      <c r="T130">
        <f t="shared" si="9"/>
        <v>1</v>
      </c>
      <c r="U130">
        <f t="shared" si="10"/>
        <v>120.97</v>
      </c>
      <c r="V130">
        <f t="shared" si="11"/>
        <v>13458</v>
      </c>
      <c r="W130" s="58" t="str">
        <f t="shared" si="12"/>
        <v>0° Skew Variable Width Abutment 25% Skewed Wings</v>
      </c>
    </row>
    <row r="131" spans="13:23" x14ac:dyDescent="0.25">
      <c r="M131" t="s">
        <v>124</v>
      </c>
      <c r="N131">
        <v>14</v>
      </c>
      <c r="O131" t="str">
        <f t="shared" ref="O131:O194" si="13">CONCATENATE(M131,"_",N131)</f>
        <v>00_25_14</v>
      </c>
      <c r="P131">
        <v>85.07</v>
      </c>
      <c r="Q131">
        <v>1.71</v>
      </c>
      <c r="R131">
        <v>9594</v>
      </c>
      <c r="S131">
        <v>161</v>
      </c>
      <c r="T131">
        <f t="shared" ref="T131:T194" si="14">ROUND(1/COS(RADIANS(LEFT(M131,2)*1)),3)</f>
        <v>1</v>
      </c>
      <c r="U131">
        <f t="shared" ref="U131:U194" si="15">P131+Q131*B$3*T131</f>
        <v>126.10999999999999</v>
      </c>
      <c r="V131">
        <f t="shared" ref="V131:V194" si="16">R131+S131*B$3*T131</f>
        <v>13458</v>
      </c>
      <c r="W131" s="58" t="str">
        <f t="shared" ref="W131:W194" si="17">CONCATENATE(LEFT(M131,2)*1,"° Skew Variable Width Abutment ",RIGHT(M131,2),"% Skewed Wings")</f>
        <v>0° Skew Variable Width Abutment 25% Skewed Wings</v>
      </c>
    </row>
    <row r="132" spans="13:23" x14ac:dyDescent="0.25">
      <c r="M132" t="s">
        <v>124</v>
      </c>
      <c r="N132">
        <v>15</v>
      </c>
      <c r="O132" t="str">
        <f t="shared" si="13"/>
        <v>00_25_15</v>
      </c>
      <c r="P132">
        <v>103.72</v>
      </c>
      <c r="Q132">
        <v>1.86</v>
      </c>
      <c r="R132">
        <v>13000</v>
      </c>
      <c r="S132">
        <v>198.6</v>
      </c>
      <c r="T132">
        <f t="shared" si="14"/>
        <v>1</v>
      </c>
      <c r="U132">
        <f t="shared" si="15"/>
        <v>148.36000000000001</v>
      </c>
      <c r="V132">
        <f t="shared" si="16"/>
        <v>17766.400000000001</v>
      </c>
      <c r="W132" s="58" t="str">
        <f t="shared" si="17"/>
        <v>0° Skew Variable Width Abutment 25% Skewed Wings</v>
      </c>
    </row>
    <row r="133" spans="13:23" x14ac:dyDescent="0.25">
      <c r="M133" t="s">
        <v>124</v>
      </c>
      <c r="N133">
        <v>16</v>
      </c>
      <c r="O133" t="str">
        <f t="shared" si="13"/>
        <v>00_25_16</v>
      </c>
      <c r="P133">
        <v>107.63</v>
      </c>
      <c r="Q133">
        <v>1.93</v>
      </c>
      <c r="R133">
        <v>13000</v>
      </c>
      <c r="S133">
        <v>198.6</v>
      </c>
      <c r="T133">
        <f t="shared" si="14"/>
        <v>1</v>
      </c>
      <c r="U133">
        <f t="shared" si="15"/>
        <v>153.94999999999999</v>
      </c>
      <c r="V133">
        <f t="shared" si="16"/>
        <v>17766.400000000001</v>
      </c>
      <c r="W133" s="58" t="str">
        <f t="shared" si="17"/>
        <v>0° Skew Variable Width Abutment 25% Skewed Wings</v>
      </c>
    </row>
    <row r="134" spans="13:23" x14ac:dyDescent="0.25">
      <c r="M134" t="s">
        <v>125</v>
      </c>
      <c r="N134">
        <v>5</v>
      </c>
      <c r="O134" t="str">
        <f t="shared" si="13"/>
        <v>05_25_5</v>
      </c>
      <c r="P134">
        <v>20.61</v>
      </c>
      <c r="Q134">
        <v>0.71</v>
      </c>
      <c r="R134">
        <v>1993</v>
      </c>
      <c r="S134">
        <v>52.8</v>
      </c>
      <c r="T134">
        <f t="shared" si="14"/>
        <v>1.004</v>
      </c>
      <c r="U134">
        <f t="shared" si="15"/>
        <v>37.718159999999997</v>
      </c>
      <c r="V134">
        <f t="shared" si="16"/>
        <v>3265.2687999999998</v>
      </c>
      <c r="W134" s="58" t="str">
        <f t="shared" si="17"/>
        <v>5° Skew Variable Width Abutment 25% Skewed Wings</v>
      </c>
    </row>
    <row r="135" spans="13:23" x14ac:dyDescent="0.25">
      <c r="M135" t="s">
        <v>125</v>
      </c>
      <c r="N135">
        <v>6</v>
      </c>
      <c r="O135" t="str">
        <f t="shared" si="13"/>
        <v>05_25_6</v>
      </c>
      <c r="P135">
        <v>22.45</v>
      </c>
      <c r="Q135">
        <v>0.78</v>
      </c>
      <c r="R135">
        <v>1993</v>
      </c>
      <c r="S135">
        <v>52.8</v>
      </c>
      <c r="T135">
        <f t="shared" si="14"/>
        <v>1.004</v>
      </c>
      <c r="U135">
        <f t="shared" si="15"/>
        <v>41.244879999999995</v>
      </c>
      <c r="V135">
        <f t="shared" si="16"/>
        <v>3265.2687999999998</v>
      </c>
      <c r="W135" s="58" t="str">
        <f t="shared" si="17"/>
        <v>5° Skew Variable Width Abutment 25% Skewed Wings</v>
      </c>
    </row>
    <row r="136" spans="13:23" x14ac:dyDescent="0.25">
      <c r="M136" t="s">
        <v>125</v>
      </c>
      <c r="N136">
        <v>7</v>
      </c>
      <c r="O136" t="str">
        <f t="shared" si="13"/>
        <v>05_25_7</v>
      </c>
      <c r="P136">
        <v>30.23</v>
      </c>
      <c r="Q136">
        <v>0.93</v>
      </c>
      <c r="R136">
        <v>2857</v>
      </c>
      <c r="S136">
        <v>68.7</v>
      </c>
      <c r="T136">
        <f t="shared" si="14"/>
        <v>1.004</v>
      </c>
      <c r="U136">
        <f t="shared" si="15"/>
        <v>52.639279999999999</v>
      </c>
      <c r="V136">
        <f t="shared" si="16"/>
        <v>4512.3951999999999</v>
      </c>
      <c r="W136" s="58" t="str">
        <f t="shared" si="17"/>
        <v>5° Skew Variable Width Abutment 25% Skewed Wings</v>
      </c>
    </row>
    <row r="137" spans="13:23" x14ac:dyDescent="0.25">
      <c r="M137" t="s">
        <v>125</v>
      </c>
      <c r="N137">
        <v>8</v>
      </c>
      <c r="O137" t="str">
        <f t="shared" si="13"/>
        <v>05_25_8</v>
      </c>
      <c r="P137">
        <v>32.369999999999997</v>
      </c>
      <c r="Q137">
        <v>1.01</v>
      </c>
      <c r="R137">
        <v>2857</v>
      </c>
      <c r="S137">
        <v>68.7</v>
      </c>
      <c r="T137">
        <f t="shared" si="14"/>
        <v>1.004</v>
      </c>
      <c r="U137">
        <f t="shared" si="15"/>
        <v>56.706959999999995</v>
      </c>
      <c r="V137">
        <f t="shared" si="16"/>
        <v>4512.3951999999999</v>
      </c>
      <c r="W137" s="58" t="str">
        <f t="shared" si="17"/>
        <v>5° Skew Variable Width Abutment 25% Skewed Wings</v>
      </c>
    </row>
    <row r="138" spans="13:23" x14ac:dyDescent="0.25">
      <c r="M138" t="s">
        <v>125</v>
      </c>
      <c r="N138">
        <v>9</v>
      </c>
      <c r="O138" t="str">
        <f t="shared" si="13"/>
        <v>05_25_9</v>
      </c>
      <c r="P138">
        <v>46.71</v>
      </c>
      <c r="Q138">
        <v>1.19</v>
      </c>
      <c r="R138">
        <v>4466</v>
      </c>
      <c r="S138">
        <v>91</v>
      </c>
      <c r="T138">
        <f t="shared" si="14"/>
        <v>1.004</v>
      </c>
      <c r="U138">
        <f t="shared" si="15"/>
        <v>75.384240000000005</v>
      </c>
      <c r="V138">
        <f t="shared" si="16"/>
        <v>6658.7359999999999</v>
      </c>
      <c r="W138" s="58" t="str">
        <f t="shared" si="17"/>
        <v>5° Skew Variable Width Abutment 25% Skewed Wings</v>
      </c>
    </row>
    <row r="139" spans="13:23" x14ac:dyDescent="0.25">
      <c r="M139" t="s">
        <v>125</v>
      </c>
      <c r="N139">
        <v>10</v>
      </c>
      <c r="O139" t="str">
        <f t="shared" si="13"/>
        <v>05_25_10</v>
      </c>
      <c r="P139">
        <v>49.36</v>
      </c>
      <c r="Q139">
        <v>1.27</v>
      </c>
      <c r="R139">
        <v>4466</v>
      </c>
      <c r="S139">
        <v>91</v>
      </c>
      <c r="T139">
        <f t="shared" si="14"/>
        <v>1.004</v>
      </c>
      <c r="U139">
        <f t="shared" si="15"/>
        <v>79.961919999999992</v>
      </c>
      <c r="V139">
        <f t="shared" si="16"/>
        <v>6658.7359999999999</v>
      </c>
      <c r="W139" s="58" t="str">
        <f t="shared" si="17"/>
        <v>5° Skew Variable Width Abutment 25% Skewed Wings</v>
      </c>
    </row>
    <row r="140" spans="13:23" x14ac:dyDescent="0.25">
      <c r="M140" t="s">
        <v>125</v>
      </c>
      <c r="N140">
        <v>11</v>
      </c>
      <c r="O140" t="str">
        <f t="shared" si="13"/>
        <v>05_25_11</v>
      </c>
      <c r="P140">
        <v>60.69</v>
      </c>
      <c r="Q140">
        <v>1.41</v>
      </c>
      <c r="R140">
        <v>6377</v>
      </c>
      <c r="S140">
        <v>120.4</v>
      </c>
      <c r="T140">
        <f t="shared" si="14"/>
        <v>1.004</v>
      </c>
      <c r="U140">
        <f t="shared" si="15"/>
        <v>94.665359999999993</v>
      </c>
      <c r="V140">
        <f t="shared" si="16"/>
        <v>9278.1584000000003</v>
      </c>
      <c r="W140" s="58" t="str">
        <f t="shared" si="17"/>
        <v>5° Skew Variable Width Abutment 25% Skewed Wings</v>
      </c>
    </row>
    <row r="141" spans="13:23" x14ac:dyDescent="0.25">
      <c r="M141" t="s">
        <v>125</v>
      </c>
      <c r="N141">
        <v>12</v>
      </c>
      <c r="O141" t="str">
        <f t="shared" si="13"/>
        <v>05_25_12</v>
      </c>
      <c r="P141">
        <v>63.64</v>
      </c>
      <c r="Q141">
        <v>1.49</v>
      </c>
      <c r="R141">
        <v>6377</v>
      </c>
      <c r="S141">
        <v>120.4</v>
      </c>
      <c r="T141">
        <f t="shared" si="14"/>
        <v>1.004</v>
      </c>
      <c r="U141">
        <f t="shared" si="15"/>
        <v>99.543039999999991</v>
      </c>
      <c r="V141">
        <f t="shared" si="16"/>
        <v>9278.1584000000003</v>
      </c>
      <c r="W141" s="58" t="str">
        <f t="shared" si="17"/>
        <v>5° Skew Variable Width Abutment 25% Skewed Wings</v>
      </c>
    </row>
    <row r="142" spans="13:23" x14ac:dyDescent="0.25">
      <c r="M142" t="s">
        <v>125</v>
      </c>
      <c r="N142">
        <v>13</v>
      </c>
      <c r="O142" t="str">
        <f t="shared" si="13"/>
        <v>05_25_13</v>
      </c>
      <c r="P142">
        <v>83.39</v>
      </c>
      <c r="Q142">
        <v>1.64</v>
      </c>
      <c r="R142">
        <v>9769</v>
      </c>
      <c r="S142">
        <v>161</v>
      </c>
      <c r="T142">
        <f t="shared" si="14"/>
        <v>1.004</v>
      </c>
      <c r="U142">
        <f t="shared" si="15"/>
        <v>122.90744000000001</v>
      </c>
      <c r="V142">
        <f t="shared" si="16"/>
        <v>13648.456</v>
      </c>
      <c r="W142" s="58" t="str">
        <f t="shared" si="17"/>
        <v>5° Skew Variable Width Abutment 25% Skewed Wings</v>
      </c>
    </row>
    <row r="143" spans="13:23" x14ac:dyDescent="0.25">
      <c r="M143" t="s">
        <v>125</v>
      </c>
      <c r="N143">
        <v>14</v>
      </c>
      <c r="O143" t="str">
        <f t="shared" si="13"/>
        <v>05_25_14</v>
      </c>
      <c r="P143">
        <v>86.93</v>
      </c>
      <c r="Q143">
        <v>1.71</v>
      </c>
      <c r="R143">
        <v>9769</v>
      </c>
      <c r="S143">
        <v>161</v>
      </c>
      <c r="T143">
        <f t="shared" si="14"/>
        <v>1.004</v>
      </c>
      <c r="U143">
        <f t="shared" si="15"/>
        <v>128.13416000000001</v>
      </c>
      <c r="V143">
        <f t="shared" si="16"/>
        <v>13648.456</v>
      </c>
      <c r="W143" s="58" t="str">
        <f t="shared" si="17"/>
        <v>5° Skew Variable Width Abutment 25% Skewed Wings</v>
      </c>
    </row>
    <row r="144" spans="13:23" x14ac:dyDescent="0.25">
      <c r="M144" t="s">
        <v>125</v>
      </c>
      <c r="N144">
        <v>15</v>
      </c>
      <c r="O144" t="str">
        <f t="shared" si="13"/>
        <v>05_25_15</v>
      </c>
      <c r="P144">
        <v>105.73</v>
      </c>
      <c r="Q144">
        <v>1.86</v>
      </c>
      <c r="R144">
        <v>13211</v>
      </c>
      <c r="S144">
        <v>198.6</v>
      </c>
      <c r="T144">
        <f t="shared" si="14"/>
        <v>1.004</v>
      </c>
      <c r="U144">
        <f t="shared" si="15"/>
        <v>150.54856000000001</v>
      </c>
      <c r="V144">
        <f t="shared" si="16"/>
        <v>17996.4656</v>
      </c>
      <c r="W144" s="58" t="str">
        <f t="shared" si="17"/>
        <v>5° Skew Variable Width Abutment 25% Skewed Wings</v>
      </c>
    </row>
    <row r="145" spans="13:23" x14ac:dyDescent="0.25">
      <c r="M145" t="s">
        <v>125</v>
      </c>
      <c r="N145">
        <v>16</v>
      </c>
      <c r="O145" t="str">
        <f t="shared" si="13"/>
        <v>05_25_16</v>
      </c>
      <c r="P145">
        <v>109.71</v>
      </c>
      <c r="Q145">
        <v>1.93</v>
      </c>
      <c r="R145">
        <v>13211</v>
      </c>
      <c r="S145">
        <v>198.6</v>
      </c>
      <c r="T145">
        <f t="shared" si="14"/>
        <v>1.004</v>
      </c>
      <c r="U145">
        <f t="shared" si="15"/>
        <v>156.21528000000001</v>
      </c>
      <c r="V145">
        <f t="shared" si="16"/>
        <v>17996.4656</v>
      </c>
      <c r="W145" s="58" t="str">
        <f t="shared" si="17"/>
        <v>5° Skew Variable Width Abutment 25% Skewed Wings</v>
      </c>
    </row>
    <row r="146" spans="13:23" x14ac:dyDescent="0.25">
      <c r="M146" t="s">
        <v>126</v>
      </c>
      <c r="N146">
        <v>5</v>
      </c>
      <c r="O146" t="str">
        <f t="shared" si="13"/>
        <v>10_25_5</v>
      </c>
      <c r="P146">
        <v>20.69</v>
      </c>
      <c r="Q146">
        <v>0.71</v>
      </c>
      <c r="R146">
        <v>1998</v>
      </c>
      <c r="S146">
        <v>52.8</v>
      </c>
      <c r="T146">
        <f t="shared" si="14"/>
        <v>1.0149999999999999</v>
      </c>
      <c r="U146">
        <f t="shared" si="15"/>
        <v>37.985599999999998</v>
      </c>
      <c r="V146">
        <f t="shared" si="16"/>
        <v>3284.2079999999996</v>
      </c>
      <c r="W146" s="58" t="str">
        <f t="shared" si="17"/>
        <v>10° Skew Variable Width Abutment 25% Skewed Wings</v>
      </c>
    </row>
    <row r="147" spans="13:23" x14ac:dyDescent="0.25">
      <c r="M147" t="s">
        <v>126</v>
      </c>
      <c r="N147">
        <v>6</v>
      </c>
      <c r="O147" t="str">
        <f t="shared" si="13"/>
        <v>10_25_6</v>
      </c>
      <c r="P147">
        <v>22.53</v>
      </c>
      <c r="Q147">
        <v>0.78</v>
      </c>
      <c r="R147">
        <v>1998</v>
      </c>
      <c r="S147">
        <v>52.8</v>
      </c>
      <c r="T147">
        <f t="shared" si="14"/>
        <v>1.0149999999999999</v>
      </c>
      <c r="U147">
        <f t="shared" si="15"/>
        <v>41.530799999999999</v>
      </c>
      <c r="V147">
        <f t="shared" si="16"/>
        <v>3284.2079999999996</v>
      </c>
      <c r="W147" s="58" t="str">
        <f t="shared" si="17"/>
        <v>10° Skew Variable Width Abutment 25% Skewed Wings</v>
      </c>
    </row>
    <row r="148" spans="13:23" x14ac:dyDescent="0.25">
      <c r="M148" t="s">
        <v>126</v>
      </c>
      <c r="N148">
        <v>7</v>
      </c>
      <c r="O148" t="str">
        <f t="shared" si="13"/>
        <v>10_25_7</v>
      </c>
      <c r="P148">
        <v>30.33</v>
      </c>
      <c r="Q148">
        <v>0.93</v>
      </c>
      <c r="R148">
        <v>2878</v>
      </c>
      <c r="S148">
        <v>68.7</v>
      </c>
      <c r="T148">
        <f t="shared" si="14"/>
        <v>1.0149999999999999</v>
      </c>
      <c r="U148">
        <f t="shared" si="15"/>
        <v>52.984799999999993</v>
      </c>
      <c r="V148">
        <f t="shared" si="16"/>
        <v>4551.5320000000002</v>
      </c>
      <c r="W148" s="58" t="str">
        <f t="shared" si="17"/>
        <v>10° Skew Variable Width Abutment 25% Skewed Wings</v>
      </c>
    </row>
    <row r="149" spans="13:23" x14ac:dyDescent="0.25">
      <c r="M149" t="s">
        <v>126</v>
      </c>
      <c r="N149">
        <v>8</v>
      </c>
      <c r="O149" t="str">
        <f t="shared" si="13"/>
        <v>10_25_8</v>
      </c>
      <c r="P149">
        <v>32.46</v>
      </c>
      <c r="Q149">
        <v>1.01</v>
      </c>
      <c r="R149">
        <v>2878</v>
      </c>
      <c r="S149">
        <v>68.7</v>
      </c>
      <c r="T149">
        <f t="shared" si="14"/>
        <v>1.0149999999999999</v>
      </c>
      <c r="U149">
        <f t="shared" si="15"/>
        <v>57.063600000000001</v>
      </c>
      <c r="V149">
        <f t="shared" si="16"/>
        <v>4551.5320000000002</v>
      </c>
      <c r="W149" s="58" t="str">
        <f t="shared" si="17"/>
        <v>10° Skew Variable Width Abutment 25% Skewed Wings</v>
      </c>
    </row>
    <row r="150" spans="13:23" x14ac:dyDescent="0.25">
      <c r="M150" t="s">
        <v>126</v>
      </c>
      <c r="N150">
        <v>9</v>
      </c>
      <c r="O150" t="str">
        <f t="shared" si="13"/>
        <v>10_25_9</v>
      </c>
      <c r="P150">
        <v>46.82</v>
      </c>
      <c r="Q150">
        <v>1.19</v>
      </c>
      <c r="R150">
        <v>4497</v>
      </c>
      <c r="S150">
        <v>91</v>
      </c>
      <c r="T150">
        <f t="shared" si="14"/>
        <v>1.0149999999999999</v>
      </c>
      <c r="U150">
        <f t="shared" si="15"/>
        <v>75.808399999999992</v>
      </c>
      <c r="V150">
        <f t="shared" si="16"/>
        <v>6713.76</v>
      </c>
      <c r="W150" s="58" t="str">
        <f t="shared" si="17"/>
        <v>10° Skew Variable Width Abutment 25% Skewed Wings</v>
      </c>
    </row>
    <row r="151" spans="13:23" x14ac:dyDescent="0.25">
      <c r="M151" t="s">
        <v>126</v>
      </c>
      <c r="N151">
        <v>10</v>
      </c>
      <c r="O151" t="str">
        <f t="shared" si="13"/>
        <v>10_25_10</v>
      </c>
      <c r="P151">
        <v>49.48</v>
      </c>
      <c r="Q151">
        <v>1.27</v>
      </c>
      <c r="R151">
        <v>4497</v>
      </c>
      <c r="S151">
        <v>91</v>
      </c>
      <c r="T151">
        <f t="shared" si="14"/>
        <v>1.0149999999999999</v>
      </c>
      <c r="U151">
        <f t="shared" si="15"/>
        <v>80.417199999999994</v>
      </c>
      <c r="V151">
        <f t="shared" si="16"/>
        <v>6713.76</v>
      </c>
      <c r="W151" s="58" t="str">
        <f t="shared" si="17"/>
        <v>10° Skew Variable Width Abutment 25% Skewed Wings</v>
      </c>
    </row>
    <row r="152" spans="13:23" x14ac:dyDescent="0.25">
      <c r="M152" t="s">
        <v>126</v>
      </c>
      <c r="N152">
        <v>11</v>
      </c>
      <c r="O152" t="str">
        <f t="shared" si="13"/>
        <v>10_25_11</v>
      </c>
      <c r="P152">
        <v>62.34</v>
      </c>
      <c r="Q152">
        <v>1.41</v>
      </c>
      <c r="R152">
        <v>6520</v>
      </c>
      <c r="S152">
        <v>120.4</v>
      </c>
      <c r="T152">
        <f t="shared" si="14"/>
        <v>1.0149999999999999</v>
      </c>
      <c r="U152">
        <f t="shared" si="15"/>
        <v>96.687600000000003</v>
      </c>
      <c r="V152">
        <f t="shared" si="16"/>
        <v>9452.9439999999995</v>
      </c>
      <c r="W152" s="58" t="str">
        <f t="shared" si="17"/>
        <v>10° Skew Variable Width Abutment 25% Skewed Wings</v>
      </c>
    </row>
    <row r="153" spans="13:23" x14ac:dyDescent="0.25">
      <c r="M153" t="s">
        <v>126</v>
      </c>
      <c r="N153">
        <v>12</v>
      </c>
      <c r="O153" t="str">
        <f t="shared" si="13"/>
        <v>10_25_12</v>
      </c>
      <c r="P153">
        <v>65.36</v>
      </c>
      <c r="Q153">
        <v>1.49</v>
      </c>
      <c r="R153">
        <v>6520</v>
      </c>
      <c r="S153">
        <v>120.4</v>
      </c>
      <c r="T153">
        <f t="shared" si="14"/>
        <v>1.0149999999999999</v>
      </c>
      <c r="U153">
        <f t="shared" si="15"/>
        <v>101.65639999999999</v>
      </c>
      <c r="V153">
        <f t="shared" si="16"/>
        <v>9452.9439999999995</v>
      </c>
      <c r="W153" s="58" t="str">
        <f t="shared" si="17"/>
        <v>10° Skew Variable Width Abutment 25% Skewed Wings</v>
      </c>
    </row>
    <row r="154" spans="13:23" x14ac:dyDescent="0.25">
      <c r="M154" t="s">
        <v>126</v>
      </c>
      <c r="N154">
        <v>13</v>
      </c>
      <c r="O154" t="str">
        <f t="shared" si="13"/>
        <v>10_25_13</v>
      </c>
      <c r="P154">
        <v>83.54</v>
      </c>
      <c r="Q154">
        <v>1.64</v>
      </c>
      <c r="R154">
        <v>9776</v>
      </c>
      <c r="S154">
        <v>161</v>
      </c>
      <c r="T154">
        <f t="shared" si="14"/>
        <v>1.0149999999999999</v>
      </c>
      <c r="U154">
        <f t="shared" si="15"/>
        <v>123.49039999999999</v>
      </c>
      <c r="V154">
        <f t="shared" si="16"/>
        <v>13697.96</v>
      </c>
      <c r="W154" s="58" t="str">
        <f t="shared" si="17"/>
        <v>10° Skew Variable Width Abutment 25% Skewed Wings</v>
      </c>
    </row>
    <row r="155" spans="13:23" x14ac:dyDescent="0.25">
      <c r="M155" t="s">
        <v>126</v>
      </c>
      <c r="N155">
        <v>14</v>
      </c>
      <c r="O155" t="str">
        <f t="shared" si="13"/>
        <v>10_25_14</v>
      </c>
      <c r="P155">
        <v>87.08</v>
      </c>
      <c r="Q155">
        <v>1.71</v>
      </c>
      <c r="R155">
        <v>9776</v>
      </c>
      <c r="S155">
        <v>161</v>
      </c>
      <c r="T155">
        <f t="shared" si="14"/>
        <v>1.0149999999999999</v>
      </c>
      <c r="U155">
        <f t="shared" si="15"/>
        <v>128.73559999999998</v>
      </c>
      <c r="V155">
        <f t="shared" si="16"/>
        <v>13697.96</v>
      </c>
      <c r="W155" s="58" t="str">
        <f t="shared" si="17"/>
        <v>10° Skew Variable Width Abutment 25% Skewed Wings</v>
      </c>
    </row>
    <row r="156" spans="13:23" x14ac:dyDescent="0.25">
      <c r="M156" t="s">
        <v>126</v>
      </c>
      <c r="N156">
        <v>15</v>
      </c>
      <c r="O156" t="str">
        <f t="shared" si="13"/>
        <v>10_25_15</v>
      </c>
      <c r="P156">
        <v>105.9</v>
      </c>
      <c r="Q156">
        <v>1.86</v>
      </c>
      <c r="R156">
        <v>13292</v>
      </c>
      <c r="S156">
        <v>198.6</v>
      </c>
      <c r="T156">
        <f t="shared" si="14"/>
        <v>1.0149999999999999</v>
      </c>
      <c r="U156">
        <f t="shared" si="15"/>
        <v>151.20959999999999</v>
      </c>
      <c r="V156">
        <f t="shared" si="16"/>
        <v>18129.896000000001</v>
      </c>
      <c r="W156" s="58" t="str">
        <f t="shared" si="17"/>
        <v>10° Skew Variable Width Abutment 25% Skewed Wings</v>
      </c>
    </row>
    <row r="157" spans="13:23" x14ac:dyDescent="0.25">
      <c r="M157" t="s">
        <v>126</v>
      </c>
      <c r="N157">
        <v>16</v>
      </c>
      <c r="O157" t="str">
        <f t="shared" si="13"/>
        <v>10_25_16</v>
      </c>
      <c r="P157">
        <v>109.89</v>
      </c>
      <c r="Q157">
        <v>1.93</v>
      </c>
      <c r="R157">
        <v>13292</v>
      </c>
      <c r="S157">
        <v>198.6</v>
      </c>
      <c r="T157">
        <f t="shared" si="14"/>
        <v>1.0149999999999999</v>
      </c>
      <c r="U157">
        <f t="shared" si="15"/>
        <v>156.90479999999999</v>
      </c>
      <c r="V157">
        <f t="shared" si="16"/>
        <v>18129.896000000001</v>
      </c>
      <c r="W157" s="58" t="str">
        <f t="shared" si="17"/>
        <v>10° Skew Variable Width Abutment 25% Skewed Wings</v>
      </c>
    </row>
    <row r="158" spans="13:23" x14ac:dyDescent="0.25">
      <c r="M158" t="s">
        <v>127</v>
      </c>
      <c r="N158">
        <v>5</v>
      </c>
      <c r="O158" t="str">
        <f t="shared" si="13"/>
        <v>15_25_5</v>
      </c>
      <c r="P158">
        <v>20.81</v>
      </c>
      <c r="Q158">
        <v>0.71</v>
      </c>
      <c r="R158">
        <v>2021</v>
      </c>
      <c r="S158">
        <v>52.8</v>
      </c>
      <c r="T158">
        <f t="shared" si="14"/>
        <v>1.0349999999999999</v>
      </c>
      <c r="U158">
        <f t="shared" si="15"/>
        <v>38.446399999999997</v>
      </c>
      <c r="V158">
        <f t="shared" si="16"/>
        <v>3332.5519999999997</v>
      </c>
      <c r="W158" s="58" t="str">
        <f t="shared" si="17"/>
        <v>15° Skew Variable Width Abutment 25% Skewed Wings</v>
      </c>
    </row>
    <row r="159" spans="13:23" x14ac:dyDescent="0.25">
      <c r="M159" t="s">
        <v>127</v>
      </c>
      <c r="N159">
        <v>6</v>
      </c>
      <c r="O159" t="str">
        <f t="shared" si="13"/>
        <v>15_25_6</v>
      </c>
      <c r="P159">
        <v>22.67</v>
      </c>
      <c r="Q159">
        <v>0.78</v>
      </c>
      <c r="R159">
        <v>2021</v>
      </c>
      <c r="S159">
        <v>52.8</v>
      </c>
      <c r="T159">
        <f t="shared" si="14"/>
        <v>1.0349999999999999</v>
      </c>
      <c r="U159">
        <f t="shared" si="15"/>
        <v>42.045199999999994</v>
      </c>
      <c r="V159">
        <f t="shared" si="16"/>
        <v>3332.5519999999997</v>
      </c>
      <c r="W159" s="58" t="str">
        <f t="shared" si="17"/>
        <v>15° Skew Variable Width Abutment 25% Skewed Wings</v>
      </c>
    </row>
    <row r="160" spans="13:23" x14ac:dyDescent="0.25">
      <c r="M160" t="s">
        <v>127</v>
      </c>
      <c r="N160">
        <v>7</v>
      </c>
      <c r="O160" t="str">
        <f t="shared" si="13"/>
        <v>15_25_7</v>
      </c>
      <c r="P160">
        <v>31.51</v>
      </c>
      <c r="Q160">
        <v>0.93</v>
      </c>
      <c r="R160">
        <v>2974</v>
      </c>
      <c r="S160">
        <v>68.7</v>
      </c>
      <c r="T160">
        <f t="shared" si="14"/>
        <v>1.0349999999999999</v>
      </c>
      <c r="U160">
        <f t="shared" si="15"/>
        <v>54.611199999999997</v>
      </c>
      <c r="V160">
        <f t="shared" si="16"/>
        <v>4680.5079999999998</v>
      </c>
      <c r="W160" s="58" t="str">
        <f t="shared" si="17"/>
        <v>15° Skew Variable Width Abutment 25% Skewed Wings</v>
      </c>
    </row>
    <row r="161" spans="13:23" x14ac:dyDescent="0.25">
      <c r="M161" t="s">
        <v>127</v>
      </c>
      <c r="N161">
        <v>8</v>
      </c>
      <c r="O161" t="str">
        <f t="shared" si="13"/>
        <v>15_25_8</v>
      </c>
      <c r="P161">
        <v>33.729999999999997</v>
      </c>
      <c r="Q161">
        <v>1.01</v>
      </c>
      <c r="R161">
        <v>2974</v>
      </c>
      <c r="S161">
        <v>68.7</v>
      </c>
      <c r="T161">
        <f t="shared" si="14"/>
        <v>1.0349999999999999</v>
      </c>
      <c r="U161">
        <f t="shared" si="15"/>
        <v>58.818399999999997</v>
      </c>
      <c r="V161">
        <f t="shared" si="16"/>
        <v>4680.5079999999998</v>
      </c>
      <c r="W161" s="58" t="str">
        <f t="shared" si="17"/>
        <v>15° Skew Variable Width Abutment 25% Skewed Wings</v>
      </c>
    </row>
    <row r="162" spans="13:23" x14ac:dyDescent="0.25">
      <c r="M162" t="s">
        <v>127</v>
      </c>
      <c r="N162">
        <v>9</v>
      </c>
      <c r="O162" t="str">
        <f t="shared" si="13"/>
        <v>15_25_9</v>
      </c>
      <c r="P162">
        <v>47.01</v>
      </c>
      <c r="Q162">
        <v>1.19</v>
      </c>
      <c r="R162">
        <v>4510</v>
      </c>
      <c r="S162">
        <v>91</v>
      </c>
      <c r="T162">
        <f t="shared" si="14"/>
        <v>1.0349999999999999</v>
      </c>
      <c r="U162">
        <f t="shared" si="15"/>
        <v>76.569599999999994</v>
      </c>
      <c r="V162">
        <f t="shared" si="16"/>
        <v>6770.44</v>
      </c>
      <c r="W162" s="58" t="str">
        <f t="shared" si="17"/>
        <v>15° Skew Variable Width Abutment 25% Skewed Wings</v>
      </c>
    </row>
    <row r="163" spans="13:23" x14ac:dyDescent="0.25">
      <c r="M163" t="s">
        <v>127</v>
      </c>
      <c r="N163">
        <v>10</v>
      </c>
      <c r="O163" t="str">
        <f t="shared" si="13"/>
        <v>15_25_10</v>
      </c>
      <c r="P163">
        <v>49.68</v>
      </c>
      <c r="Q163">
        <v>1.27</v>
      </c>
      <c r="R163">
        <v>4510</v>
      </c>
      <c r="S163">
        <v>91</v>
      </c>
      <c r="T163">
        <f t="shared" si="14"/>
        <v>1.0349999999999999</v>
      </c>
      <c r="U163">
        <f t="shared" si="15"/>
        <v>81.226799999999997</v>
      </c>
      <c r="V163">
        <f t="shared" si="16"/>
        <v>6770.44</v>
      </c>
      <c r="W163" s="58" t="str">
        <f t="shared" si="17"/>
        <v>15° Skew Variable Width Abutment 25% Skewed Wings</v>
      </c>
    </row>
    <row r="164" spans="13:23" x14ac:dyDescent="0.25">
      <c r="M164" t="s">
        <v>127</v>
      </c>
      <c r="N164">
        <v>11</v>
      </c>
      <c r="O164" t="str">
        <f t="shared" si="13"/>
        <v>15_25_11</v>
      </c>
      <c r="P164">
        <v>62.56</v>
      </c>
      <c r="Q164">
        <v>1.41</v>
      </c>
      <c r="R164">
        <v>6573</v>
      </c>
      <c r="S164">
        <v>120.4</v>
      </c>
      <c r="T164">
        <f t="shared" si="14"/>
        <v>1.0349999999999999</v>
      </c>
      <c r="U164">
        <f t="shared" si="15"/>
        <v>97.584399999999988</v>
      </c>
      <c r="V164">
        <f t="shared" si="16"/>
        <v>9563.7360000000008</v>
      </c>
      <c r="W164" s="58" t="str">
        <f t="shared" si="17"/>
        <v>15° Skew Variable Width Abutment 25% Skewed Wings</v>
      </c>
    </row>
    <row r="165" spans="13:23" x14ac:dyDescent="0.25">
      <c r="M165" t="s">
        <v>127</v>
      </c>
      <c r="N165">
        <v>12</v>
      </c>
      <c r="O165" t="str">
        <f t="shared" si="13"/>
        <v>15_25_12</v>
      </c>
      <c r="P165">
        <v>65.599999999999994</v>
      </c>
      <c r="Q165">
        <v>1.49</v>
      </c>
      <c r="R165">
        <v>6573</v>
      </c>
      <c r="S165">
        <v>120.4</v>
      </c>
      <c r="T165">
        <f t="shared" si="14"/>
        <v>1.0349999999999999</v>
      </c>
      <c r="U165">
        <f t="shared" si="15"/>
        <v>102.61159999999998</v>
      </c>
      <c r="V165">
        <f t="shared" si="16"/>
        <v>9563.7360000000008</v>
      </c>
      <c r="W165" s="58" t="str">
        <f t="shared" si="17"/>
        <v>15° Skew Variable Width Abutment 25% Skewed Wings</v>
      </c>
    </row>
    <row r="166" spans="13:23" x14ac:dyDescent="0.25">
      <c r="M166" t="s">
        <v>127</v>
      </c>
      <c r="N166">
        <v>13</v>
      </c>
      <c r="O166" t="str">
        <f t="shared" si="13"/>
        <v>15_25_13</v>
      </c>
      <c r="P166">
        <v>83.79</v>
      </c>
      <c r="Q166">
        <v>1.64</v>
      </c>
      <c r="R166">
        <v>9849</v>
      </c>
      <c r="S166">
        <v>161</v>
      </c>
      <c r="T166">
        <f t="shared" si="14"/>
        <v>1.0349999999999999</v>
      </c>
      <c r="U166">
        <f t="shared" si="15"/>
        <v>124.52760000000001</v>
      </c>
      <c r="V166">
        <f t="shared" si="16"/>
        <v>13848.24</v>
      </c>
      <c r="W166" s="58" t="str">
        <f t="shared" si="17"/>
        <v>15° Skew Variable Width Abutment 25% Skewed Wings</v>
      </c>
    </row>
    <row r="167" spans="13:23" x14ac:dyDescent="0.25">
      <c r="M167" t="s">
        <v>127</v>
      </c>
      <c r="N167">
        <v>14</v>
      </c>
      <c r="O167" t="str">
        <f t="shared" si="13"/>
        <v>15_25_14</v>
      </c>
      <c r="P167">
        <v>87.35</v>
      </c>
      <c r="Q167">
        <v>1.71</v>
      </c>
      <c r="R167">
        <v>9849</v>
      </c>
      <c r="S167">
        <v>161</v>
      </c>
      <c r="T167">
        <f t="shared" si="14"/>
        <v>1.0349999999999999</v>
      </c>
      <c r="U167">
        <f t="shared" si="15"/>
        <v>129.82639999999998</v>
      </c>
      <c r="V167">
        <f t="shared" si="16"/>
        <v>13848.24</v>
      </c>
      <c r="W167" s="58" t="str">
        <f t="shared" si="17"/>
        <v>15° Skew Variable Width Abutment 25% Skewed Wings</v>
      </c>
    </row>
    <row r="168" spans="13:23" x14ac:dyDescent="0.25">
      <c r="M168" t="s">
        <v>127</v>
      </c>
      <c r="N168">
        <v>15</v>
      </c>
      <c r="O168" t="str">
        <f t="shared" si="13"/>
        <v>15_25_15</v>
      </c>
      <c r="P168">
        <v>106.18</v>
      </c>
      <c r="Q168">
        <v>1.86</v>
      </c>
      <c r="R168">
        <v>13311</v>
      </c>
      <c r="S168">
        <v>198.6</v>
      </c>
      <c r="T168">
        <f t="shared" si="14"/>
        <v>1.0349999999999999</v>
      </c>
      <c r="U168">
        <f t="shared" si="15"/>
        <v>152.38240000000002</v>
      </c>
      <c r="V168">
        <f t="shared" si="16"/>
        <v>18244.223999999998</v>
      </c>
      <c r="W168" s="58" t="str">
        <f t="shared" si="17"/>
        <v>15° Skew Variable Width Abutment 25% Skewed Wings</v>
      </c>
    </row>
    <row r="169" spans="13:23" x14ac:dyDescent="0.25">
      <c r="M169" t="s">
        <v>127</v>
      </c>
      <c r="N169">
        <v>16</v>
      </c>
      <c r="O169" t="str">
        <f t="shared" si="13"/>
        <v>15_25_16</v>
      </c>
      <c r="P169">
        <v>110.18</v>
      </c>
      <c r="Q169">
        <v>1.93</v>
      </c>
      <c r="R169">
        <v>13311</v>
      </c>
      <c r="S169">
        <v>198.6</v>
      </c>
      <c r="T169">
        <f t="shared" si="14"/>
        <v>1.0349999999999999</v>
      </c>
      <c r="U169">
        <f t="shared" si="15"/>
        <v>158.12119999999999</v>
      </c>
      <c r="V169">
        <f t="shared" si="16"/>
        <v>18244.223999999998</v>
      </c>
      <c r="W169" s="58" t="str">
        <f t="shared" si="17"/>
        <v>15° Skew Variable Width Abutment 25% Skewed Wings</v>
      </c>
    </row>
    <row r="170" spans="13:23" x14ac:dyDescent="0.25">
      <c r="M170" t="s">
        <v>128</v>
      </c>
      <c r="N170">
        <v>5</v>
      </c>
      <c r="O170" t="str">
        <f t="shared" si="13"/>
        <v>20_25_5</v>
      </c>
      <c r="P170">
        <v>21.8</v>
      </c>
      <c r="Q170">
        <f>Q158</f>
        <v>0.71</v>
      </c>
      <c r="R170">
        <v>2101</v>
      </c>
      <c r="S170">
        <f>S158</f>
        <v>52.8</v>
      </c>
      <c r="T170">
        <f t="shared" si="14"/>
        <v>1.0640000000000001</v>
      </c>
      <c r="U170">
        <f t="shared" si="15"/>
        <v>39.93056</v>
      </c>
      <c r="V170">
        <f t="shared" si="16"/>
        <v>3449.3008</v>
      </c>
      <c r="W170" s="58" t="str">
        <f t="shared" si="17"/>
        <v>20° Skew Variable Width Abutment 25% Skewed Wings</v>
      </c>
    </row>
    <row r="171" spans="13:23" x14ac:dyDescent="0.25">
      <c r="M171" t="s">
        <v>128</v>
      </c>
      <c r="N171">
        <v>6</v>
      </c>
      <c r="O171" t="str">
        <f t="shared" si="13"/>
        <v>20_25_6</v>
      </c>
      <c r="P171">
        <v>23.74</v>
      </c>
      <c r="Q171">
        <f t="shared" ref="Q171:Q234" si="18">Q159</f>
        <v>0.78</v>
      </c>
      <c r="R171">
        <v>2101</v>
      </c>
      <c r="S171">
        <f t="shared" ref="S171:S234" si="19">S159</f>
        <v>52.8</v>
      </c>
      <c r="T171">
        <f t="shared" si="14"/>
        <v>1.0640000000000001</v>
      </c>
      <c r="U171">
        <f t="shared" si="15"/>
        <v>43.658079999999998</v>
      </c>
      <c r="V171">
        <f t="shared" si="16"/>
        <v>3449.3008</v>
      </c>
      <c r="W171" s="58" t="str">
        <f t="shared" si="17"/>
        <v>20° Skew Variable Width Abutment 25% Skewed Wings</v>
      </c>
    </row>
    <row r="172" spans="13:23" x14ac:dyDescent="0.25">
      <c r="M172" t="s">
        <v>128</v>
      </c>
      <c r="N172">
        <v>7</v>
      </c>
      <c r="O172" t="str">
        <f t="shared" si="13"/>
        <v>20_25_7</v>
      </c>
      <c r="P172">
        <v>32.76</v>
      </c>
      <c r="Q172">
        <f t="shared" si="18"/>
        <v>0.93</v>
      </c>
      <c r="R172">
        <v>3071</v>
      </c>
      <c r="S172">
        <f t="shared" si="19"/>
        <v>68.7</v>
      </c>
      <c r="T172">
        <f t="shared" si="14"/>
        <v>1.0640000000000001</v>
      </c>
      <c r="U172">
        <f t="shared" si="15"/>
        <v>56.508479999999999</v>
      </c>
      <c r="V172">
        <f t="shared" si="16"/>
        <v>4825.3232000000007</v>
      </c>
      <c r="W172" s="58" t="str">
        <f t="shared" si="17"/>
        <v>20° Skew Variable Width Abutment 25% Skewed Wings</v>
      </c>
    </row>
    <row r="173" spans="13:23" x14ac:dyDescent="0.25">
      <c r="M173" t="s">
        <v>128</v>
      </c>
      <c r="N173">
        <v>8</v>
      </c>
      <c r="O173" t="str">
        <f t="shared" si="13"/>
        <v>20_25_8</v>
      </c>
      <c r="P173">
        <v>35.08</v>
      </c>
      <c r="Q173">
        <f t="shared" si="18"/>
        <v>1.01</v>
      </c>
      <c r="R173">
        <v>3071</v>
      </c>
      <c r="S173">
        <f t="shared" si="19"/>
        <v>68.7</v>
      </c>
      <c r="T173">
        <f t="shared" si="14"/>
        <v>1.0640000000000001</v>
      </c>
      <c r="U173">
        <f t="shared" si="15"/>
        <v>60.871360000000003</v>
      </c>
      <c r="V173">
        <f t="shared" si="16"/>
        <v>4825.3232000000007</v>
      </c>
      <c r="W173" s="58" t="str">
        <f t="shared" si="17"/>
        <v>20° Skew Variable Width Abutment 25% Skewed Wings</v>
      </c>
    </row>
    <row r="174" spans="13:23" x14ac:dyDescent="0.25">
      <c r="M174" t="s">
        <v>128</v>
      </c>
      <c r="N174">
        <v>9</v>
      </c>
      <c r="O174" t="str">
        <f t="shared" si="13"/>
        <v>20_25_9</v>
      </c>
      <c r="P174">
        <v>48.58</v>
      </c>
      <c r="Q174">
        <f t="shared" si="18"/>
        <v>1.19</v>
      </c>
      <c r="R174">
        <v>4633</v>
      </c>
      <c r="S174">
        <f t="shared" si="19"/>
        <v>91</v>
      </c>
      <c r="T174">
        <f t="shared" si="14"/>
        <v>1.0640000000000001</v>
      </c>
      <c r="U174">
        <f t="shared" si="15"/>
        <v>78.967839999999995</v>
      </c>
      <c r="V174">
        <f t="shared" si="16"/>
        <v>6956.7759999999998</v>
      </c>
      <c r="W174" s="58" t="str">
        <f t="shared" si="17"/>
        <v>20° Skew Variable Width Abutment 25% Skewed Wings</v>
      </c>
    </row>
    <row r="175" spans="13:23" x14ac:dyDescent="0.25">
      <c r="M175" t="s">
        <v>128</v>
      </c>
      <c r="N175">
        <v>10</v>
      </c>
      <c r="O175" t="str">
        <f t="shared" si="13"/>
        <v>20_25_10</v>
      </c>
      <c r="P175">
        <v>51.34</v>
      </c>
      <c r="Q175">
        <f t="shared" si="18"/>
        <v>1.27</v>
      </c>
      <c r="R175">
        <v>4633</v>
      </c>
      <c r="S175">
        <f t="shared" si="19"/>
        <v>91</v>
      </c>
      <c r="T175">
        <f t="shared" si="14"/>
        <v>1.0640000000000001</v>
      </c>
      <c r="U175">
        <f t="shared" si="15"/>
        <v>83.770720000000011</v>
      </c>
      <c r="V175">
        <f t="shared" si="16"/>
        <v>6956.7759999999998</v>
      </c>
      <c r="W175" s="58" t="str">
        <f t="shared" si="17"/>
        <v>20° Skew Variable Width Abutment 25% Skewed Wings</v>
      </c>
    </row>
    <row r="176" spans="13:23" x14ac:dyDescent="0.25">
      <c r="M176" t="s">
        <v>128</v>
      </c>
      <c r="N176">
        <v>11</v>
      </c>
      <c r="O176" t="str">
        <f t="shared" si="13"/>
        <v>20_25_11</v>
      </c>
      <c r="P176">
        <v>64.400000000000006</v>
      </c>
      <c r="Q176">
        <f t="shared" si="18"/>
        <v>1.41</v>
      </c>
      <c r="R176">
        <v>6687</v>
      </c>
      <c r="S176">
        <f t="shared" si="19"/>
        <v>120.4</v>
      </c>
      <c r="T176">
        <f t="shared" si="14"/>
        <v>1.0640000000000001</v>
      </c>
      <c r="U176">
        <f t="shared" si="15"/>
        <v>100.40576</v>
      </c>
      <c r="V176">
        <f t="shared" si="16"/>
        <v>9761.5344000000005</v>
      </c>
      <c r="W176" s="58" t="str">
        <f t="shared" si="17"/>
        <v>20° Skew Variable Width Abutment 25% Skewed Wings</v>
      </c>
    </row>
    <row r="177" spans="13:23" x14ac:dyDescent="0.25">
      <c r="M177" t="s">
        <v>128</v>
      </c>
      <c r="N177">
        <v>12</v>
      </c>
      <c r="O177" t="str">
        <f t="shared" si="13"/>
        <v>20_25_12</v>
      </c>
      <c r="P177">
        <v>67.52</v>
      </c>
      <c r="Q177">
        <f t="shared" si="18"/>
        <v>1.49</v>
      </c>
      <c r="R177">
        <v>6687</v>
      </c>
      <c r="S177">
        <f t="shared" si="19"/>
        <v>120.4</v>
      </c>
      <c r="T177">
        <f t="shared" si="14"/>
        <v>1.0640000000000001</v>
      </c>
      <c r="U177">
        <f t="shared" si="15"/>
        <v>105.56863999999999</v>
      </c>
      <c r="V177">
        <f t="shared" si="16"/>
        <v>9761.5344000000005</v>
      </c>
      <c r="W177" s="58" t="str">
        <f t="shared" si="17"/>
        <v>20° Skew Variable Width Abutment 25% Skewed Wings</v>
      </c>
    </row>
    <row r="178" spans="13:23" x14ac:dyDescent="0.25">
      <c r="M178" t="s">
        <v>128</v>
      </c>
      <c r="N178">
        <v>13</v>
      </c>
      <c r="O178" t="str">
        <f t="shared" si="13"/>
        <v>20_25_13</v>
      </c>
      <c r="P178">
        <v>85.9</v>
      </c>
      <c r="Q178">
        <f t="shared" si="18"/>
        <v>1.64</v>
      </c>
      <c r="R178">
        <v>10046</v>
      </c>
      <c r="S178">
        <f t="shared" si="19"/>
        <v>161</v>
      </c>
      <c r="T178">
        <f t="shared" si="14"/>
        <v>1.0640000000000001</v>
      </c>
      <c r="U178">
        <f t="shared" si="15"/>
        <v>127.77904000000001</v>
      </c>
      <c r="V178">
        <f t="shared" si="16"/>
        <v>14157.296</v>
      </c>
      <c r="W178" s="58" t="str">
        <f t="shared" si="17"/>
        <v>20° Skew Variable Width Abutment 25% Skewed Wings</v>
      </c>
    </row>
    <row r="179" spans="13:23" x14ac:dyDescent="0.25">
      <c r="M179" t="s">
        <v>128</v>
      </c>
      <c r="N179">
        <v>14</v>
      </c>
      <c r="O179" t="str">
        <f t="shared" si="13"/>
        <v>20_25_14</v>
      </c>
      <c r="P179">
        <v>89.54</v>
      </c>
      <c r="Q179">
        <f t="shared" si="18"/>
        <v>1.71</v>
      </c>
      <c r="R179">
        <v>10046</v>
      </c>
      <c r="S179">
        <f t="shared" si="19"/>
        <v>161</v>
      </c>
      <c r="T179">
        <f t="shared" si="14"/>
        <v>1.0640000000000001</v>
      </c>
      <c r="U179">
        <f t="shared" si="15"/>
        <v>133.20656000000002</v>
      </c>
      <c r="V179">
        <f t="shared" si="16"/>
        <v>14157.296</v>
      </c>
      <c r="W179" s="58" t="str">
        <f t="shared" si="17"/>
        <v>20° Skew Variable Width Abutment 25% Skewed Wings</v>
      </c>
    </row>
    <row r="180" spans="13:23" x14ac:dyDescent="0.25">
      <c r="M180" t="s">
        <v>128</v>
      </c>
      <c r="N180">
        <v>15</v>
      </c>
      <c r="O180" t="str">
        <f t="shared" si="13"/>
        <v>20_25_15</v>
      </c>
      <c r="P180">
        <v>108.56</v>
      </c>
      <c r="Q180">
        <f t="shared" si="18"/>
        <v>1.86</v>
      </c>
      <c r="R180">
        <v>13545</v>
      </c>
      <c r="S180">
        <f t="shared" si="19"/>
        <v>198.6</v>
      </c>
      <c r="T180">
        <f t="shared" si="14"/>
        <v>1.0640000000000001</v>
      </c>
      <c r="U180">
        <f t="shared" si="15"/>
        <v>156.05696</v>
      </c>
      <c r="V180">
        <f t="shared" si="16"/>
        <v>18616.4496</v>
      </c>
      <c r="W180" s="58" t="str">
        <f t="shared" si="17"/>
        <v>20° Skew Variable Width Abutment 25% Skewed Wings</v>
      </c>
    </row>
    <row r="181" spans="13:23" x14ac:dyDescent="0.25">
      <c r="M181" t="s">
        <v>128</v>
      </c>
      <c r="N181">
        <v>16</v>
      </c>
      <c r="O181" t="str">
        <f t="shared" si="13"/>
        <v>20_25_16</v>
      </c>
      <c r="P181">
        <v>112.65</v>
      </c>
      <c r="Q181">
        <f t="shared" si="18"/>
        <v>1.93</v>
      </c>
      <c r="R181">
        <v>13545</v>
      </c>
      <c r="S181">
        <f t="shared" si="19"/>
        <v>198.6</v>
      </c>
      <c r="T181">
        <f t="shared" si="14"/>
        <v>1.0640000000000001</v>
      </c>
      <c r="U181">
        <f t="shared" si="15"/>
        <v>161.93448000000001</v>
      </c>
      <c r="V181">
        <f t="shared" si="16"/>
        <v>18616.4496</v>
      </c>
      <c r="W181" s="58" t="str">
        <f t="shared" si="17"/>
        <v>20° Skew Variable Width Abutment 25% Skewed Wings</v>
      </c>
    </row>
    <row r="182" spans="13:23" x14ac:dyDescent="0.25">
      <c r="M182" t="s">
        <v>129</v>
      </c>
      <c r="N182">
        <v>5</v>
      </c>
      <c r="O182" t="str">
        <f t="shared" si="13"/>
        <v>25_25_5</v>
      </c>
      <c r="P182">
        <v>22.04</v>
      </c>
      <c r="Q182">
        <f t="shared" si="18"/>
        <v>0.71</v>
      </c>
      <c r="R182">
        <v>2131</v>
      </c>
      <c r="S182">
        <f t="shared" si="19"/>
        <v>52.8</v>
      </c>
      <c r="T182">
        <f t="shared" si="14"/>
        <v>1.103</v>
      </c>
      <c r="U182">
        <f t="shared" si="15"/>
        <v>40.835119999999996</v>
      </c>
      <c r="V182">
        <f t="shared" si="16"/>
        <v>3528.7215999999999</v>
      </c>
      <c r="W182" s="58" t="str">
        <f t="shared" si="17"/>
        <v>25° Skew Variable Width Abutment 25% Skewed Wings</v>
      </c>
    </row>
    <row r="183" spans="13:23" x14ac:dyDescent="0.25">
      <c r="M183" t="s">
        <v>129</v>
      </c>
      <c r="N183">
        <v>6</v>
      </c>
      <c r="O183" t="str">
        <f t="shared" si="13"/>
        <v>25_25_6</v>
      </c>
      <c r="P183">
        <v>24.01</v>
      </c>
      <c r="Q183">
        <f t="shared" si="18"/>
        <v>0.78</v>
      </c>
      <c r="R183">
        <v>2131</v>
      </c>
      <c r="S183">
        <f t="shared" si="19"/>
        <v>52.8</v>
      </c>
      <c r="T183">
        <f t="shared" si="14"/>
        <v>1.103</v>
      </c>
      <c r="U183">
        <f t="shared" si="15"/>
        <v>44.658159999999995</v>
      </c>
      <c r="V183">
        <f t="shared" si="16"/>
        <v>3528.7215999999999</v>
      </c>
      <c r="W183" s="58" t="str">
        <f t="shared" si="17"/>
        <v>25° Skew Variable Width Abutment 25% Skewed Wings</v>
      </c>
    </row>
    <row r="184" spans="13:23" x14ac:dyDescent="0.25">
      <c r="M184" t="s">
        <v>129</v>
      </c>
      <c r="N184">
        <v>7</v>
      </c>
      <c r="O184" t="str">
        <f t="shared" si="13"/>
        <v>25_25_7</v>
      </c>
      <c r="P184">
        <v>34.1</v>
      </c>
      <c r="Q184">
        <f t="shared" si="18"/>
        <v>0.93</v>
      </c>
      <c r="R184">
        <v>3195</v>
      </c>
      <c r="S184">
        <f t="shared" si="19"/>
        <v>68.7</v>
      </c>
      <c r="T184">
        <f t="shared" si="14"/>
        <v>1.103</v>
      </c>
      <c r="U184">
        <f t="shared" si="15"/>
        <v>58.718960000000003</v>
      </c>
      <c r="V184">
        <f t="shared" si="16"/>
        <v>5013.6264000000001</v>
      </c>
      <c r="W184" s="58" t="str">
        <f t="shared" si="17"/>
        <v>25° Skew Variable Width Abutment 25% Skewed Wings</v>
      </c>
    </row>
    <row r="185" spans="13:23" x14ac:dyDescent="0.25">
      <c r="M185" t="s">
        <v>129</v>
      </c>
      <c r="N185">
        <v>8</v>
      </c>
      <c r="O185" t="str">
        <f t="shared" si="13"/>
        <v>25_25_8</v>
      </c>
      <c r="P185">
        <v>36.51</v>
      </c>
      <c r="Q185">
        <f t="shared" si="18"/>
        <v>1.01</v>
      </c>
      <c r="R185">
        <v>3195</v>
      </c>
      <c r="S185">
        <f t="shared" si="19"/>
        <v>68.7</v>
      </c>
      <c r="T185">
        <f t="shared" si="14"/>
        <v>1.103</v>
      </c>
      <c r="U185">
        <f t="shared" si="15"/>
        <v>63.246719999999996</v>
      </c>
      <c r="V185">
        <f t="shared" si="16"/>
        <v>5013.6264000000001</v>
      </c>
      <c r="W185" s="58" t="str">
        <f t="shared" si="17"/>
        <v>25° Skew Variable Width Abutment 25% Skewed Wings</v>
      </c>
    </row>
    <row r="186" spans="13:23" x14ac:dyDescent="0.25">
      <c r="M186" t="s">
        <v>129</v>
      </c>
      <c r="N186">
        <v>9</v>
      </c>
      <c r="O186" t="str">
        <f t="shared" si="13"/>
        <v>25_25_9</v>
      </c>
      <c r="P186">
        <v>50.24</v>
      </c>
      <c r="Q186">
        <f t="shared" si="18"/>
        <v>1.19</v>
      </c>
      <c r="R186">
        <v>4790</v>
      </c>
      <c r="S186">
        <f t="shared" si="19"/>
        <v>91</v>
      </c>
      <c r="T186">
        <f t="shared" si="14"/>
        <v>1.103</v>
      </c>
      <c r="U186">
        <f t="shared" si="15"/>
        <v>81.741680000000002</v>
      </c>
      <c r="V186">
        <f t="shared" si="16"/>
        <v>7198.9519999999993</v>
      </c>
      <c r="W186" s="58" t="str">
        <f t="shared" si="17"/>
        <v>25° Skew Variable Width Abutment 25% Skewed Wings</v>
      </c>
    </row>
    <row r="187" spans="13:23" x14ac:dyDescent="0.25">
      <c r="M187" t="s">
        <v>129</v>
      </c>
      <c r="N187">
        <v>10</v>
      </c>
      <c r="O187" t="str">
        <f t="shared" si="13"/>
        <v>25_25_10</v>
      </c>
      <c r="P187">
        <v>63.1</v>
      </c>
      <c r="Q187">
        <f t="shared" si="18"/>
        <v>1.27</v>
      </c>
      <c r="R187">
        <v>4790</v>
      </c>
      <c r="S187">
        <f t="shared" si="19"/>
        <v>91</v>
      </c>
      <c r="T187">
        <f t="shared" si="14"/>
        <v>1.103</v>
      </c>
      <c r="U187">
        <f t="shared" si="15"/>
        <v>96.719439999999992</v>
      </c>
      <c r="V187">
        <f t="shared" si="16"/>
        <v>7198.9519999999993</v>
      </c>
      <c r="W187" s="58" t="str">
        <f t="shared" si="17"/>
        <v>25° Skew Variable Width Abutment 25% Skewed Wings</v>
      </c>
    </row>
    <row r="188" spans="13:23" x14ac:dyDescent="0.25">
      <c r="M188" t="s">
        <v>129</v>
      </c>
      <c r="N188">
        <v>11</v>
      </c>
      <c r="O188" t="str">
        <f t="shared" si="13"/>
        <v>25_25_11</v>
      </c>
      <c r="P188">
        <v>67.849999999999994</v>
      </c>
      <c r="Q188">
        <f t="shared" si="18"/>
        <v>1.41</v>
      </c>
      <c r="R188">
        <v>7067</v>
      </c>
      <c r="S188">
        <f t="shared" si="19"/>
        <v>120.4</v>
      </c>
      <c r="T188">
        <f t="shared" si="14"/>
        <v>1.103</v>
      </c>
      <c r="U188">
        <f t="shared" si="15"/>
        <v>105.17551999999999</v>
      </c>
      <c r="V188">
        <f t="shared" si="16"/>
        <v>10254.228800000001</v>
      </c>
      <c r="W188" s="58" t="str">
        <f t="shared" si="17"/>
        <v>25° Skew Variable Width Abutment 25% Skewed Wings</v>
      </c>
    </row>
    <row r="189" spans="13:23" x14ac:dyDescent="0.25">
      <c r="M189" t="s">
        <v>129</v>
      </c>
      <c r="N189">
        <v>12</v>
      </c>
      <c r="O189" t="str">
        <f t="shared" si="13"/>
        <v>25_25_12</v>
      </c>
      <c r="P189">
        <v>71.150000000000006</v>
      </c>
      <c r="Q189">
        <f t="shared" si="18"/>
        <v>1.49</v>
      </c>
      <c r="R189">
        <v>7067</v>
      </c>
      <c r="S189">
        <f t="shared" si="19"/>
        <v>120.4</v>
      </c>
      <c r="T189">
        <f t="shared" si="14"/>
        <v>1.103</v>
      </c>
      <c r="U189">
        <f t="shared" si="15"/>
        <v>110.59327999999999</v>
      </c>
      <c r="V189">
        <f t="shared" si="16"/>
        <v>10254.228800000001</v>
      </c>
      <c r="W189" s="58" t="str">
        <f t="shared" si="17"/>
        <v>25° Skew Variable Width Abutment 25% Skewed Wings</v>
      </c>
    </row>
    <row r="190" spans="13:23" x14ac:dyDescent="0.25">
      <c r="M190" t="s">
        <v>129</v>
      </c>
      <c r="N190">
        <v>13</v>
      </c>
      <c r="O190" t="str">
        <f t="shared" si="13"/>
        <v>25_25_13</v>
      </c>
      <c r="P190">
        <v>88.13</v>
      </c>
      <c r="Q190">
        <f t="shared" si="18"/>
        <v>1.64</v>
      </c>
      <c r="R190">
        <v>10316</v>
      </c>
      <c r="S190">
        <f t="shared" si="19"/>
        <v>161</v>
      </c>
      <c r="T190">
        <f t="shared" si="14"/>
        <v>1.103</v>
      </c>
      <c r="U190">
        <f t="shared" si="15"/>
        <v>131.54408000000001</v>
      </c>
      <c r="V190">
        <f t="shared" si="16"/>
        <v>14577.992</v>
      </c>
      <c r="W190" s="58" t="str">
        <f t="shared" si="17"/>
        <v>25° Skew Variable Width Abutment 25% Skewed Wings</v>
      </c>
    </row>
    <row r="191" spans="13:23" x14ac:dyDescent="0.25">
      <c r="M191" t="s">
        <v>129</v>
      </c>
      <c r="N191">
        <v>14</v>
      </c>
      <c r="O191" t="str">
        <f t="shared" si="13"/>
        <v>25_25_14</v>
      </c>
      <c r="P191">
        <v>91.87</v>
      </c>
      <c r="Q191">
        <f t="shared" si="18"/>
        <v>1.71</v>
      </c>
      <c r="R191">
        <v>10316</v>
      </c>
      <c r="S191">
        <f t="shared" si="19"/>
        <v>161</v>
      </c>
      <c r="T191">
        <f t="shared" si="14"/>
        <v>1.103</v>
      </c>
      <c r="U191">
        <f t="shared" si="15"/>
        <v>137.13712000000001</v>
      </c>
      <c r="V191">
        <f t="shared" si="16"/>
        <v>14577.992</v>
      </c>
      <c r="W191" s="58" t="str">
        <f t="shared" si="17"/>
        <v>25° Skew Variable Width Abutment 25% Skewed Wings</v>
      </c>
    </row>
    <row r="192" spans="13:23" x14ac:dyDescent="0.25">
      <c r="M192" t="s">
        <v>129</v>
      </c>
      <c r="N192">
        <v>15</v>
      </c>
      <c r="O192" t="str">
        <f t="shared" si="13"/>
        <v>25_25_15</v>
      </c>
      <c r="P192">
        <v>111.07</v>
      </c>
      <c r="Q192">
        <f t="shared" si="18"/>
        <v>1.86</v>
      </c>
      <c r="R192">
        <v>13872</v>
      </c>
      <c r="S192">
        <f t="shared" si="19"/>
        <v>198.6</v>
      </c>
      <c r="T192">
        <f t="shared" si="14"/>
        <v>1.103</v>
      </c>
      <c r="U192">
        <f t="shared" si="15"/>
        <v>160.30792</v>
      </c>
      <c r="V192">
        <f t="shared" si="16"/>
        <v>19129.339199999999</v>
      </c>
      <c r="W192" s="58" t="str">
        <f t="shared" si="17"/>
        <v>25° Skew Variable Width Abutment 25% Skewed Wings</v>
      </c>
    </row>
    <row r="193" spans="13:23" x14ac:dyDescent="0.25">
      <c r="M193" t="s">
        <v>129</v>
      </c>
      <c r="N193">
        <v>16</v>
      </c>
      <c r="O193" t="str">
        <f t="shared" si="13"/>
        <v>25_25_16</v>
      </c>
      <c r="P193">
        <v>115.26</v>
      </c>
      <c r="Q193">
        <f t="shared" si="18"/>
        <v>1.93</v>
      </c>
      <c r="R193">
        <v>13872</v>
      </c>
      <c r="S193">
        <f t="shared" si="19"/>
        <v>198.6</v>
      </c>
      <c r="T193">
        <f t="shared" si="14"/>
        <v>1.103</v>
      </c>
      <c r="U193">
        <f t="shared" si="15"/>
        <v>166.35096000000001</v>
      </c>
      <c r="V193">
        <f t="shared" si="16"/>
        <v>19129.339199999999</v>
      </c>
      <c r="W193" s="58" t="str">
        <f t="shared" si="17"/>
        <v>25° Skew Variable Width Abutment 25% Skewed Wings</v>
      </c>
    </row>
    <row r="194" spans="13:23" x14ac:dyDescent="0.25">
      <c r="M194" t="s">
        <v>130</v>
      </c>
      <c r="N194">
        <v>5</v>
      </c>
      <c r="O194" t="str">
        <f t="shared" si="13"/>
        <v>30_25_5</v>
      </c>
      <c r="P194">
        <v>22.36</v>
      </c>
      <c r="Q194">
        <f t="shared" si="18"/>
        <v>0.71</v>
      </c>
      <c r="R194">
        <v>2163</v>
      </c>
      <c r="S194">
        <f t="shared" si="19"/>
        <v>52.8</v>
      </c>
      <c r="T194">
        <f t="shared" si="14"/>
        <v>1.155</v>
      </c>
      <c r="U194">
        <f t="shared" si="15"/>
        <v>42.041200000000003</v>
      </c>
      <c r="V194">
        <f t="shared" si="16"/>
        <v>3626.616</v>
      </c>
      <c r="W194" s="58" t="str">
        <f t="shared" si="17"/>
        <v>30° Skew Variable Width Abutment 25% Skewed Wings</v>
      </c>
    </row>
    <row r="195" spans="13:23" x14ac:dyDescent="0.25">
      <c r="M195" t="s">
        <v>130</v>
      </c>
      <c r="N195">
        <v>6</v>
      </c>
      <c r="O195" t="str">
        <f t="shared" ref="O195:O258" si="20">CONCATENATE(M195,"_",N195)</f>
        <v>30_25_6</v>
      </c>
      <c r="P195">
        <v>24.35</v>
      </c>
      <c r="Q195">
        <f t="shared" si="18"/>
        <v>0.78</v>
      </c>
      <c r="R195">
        <v>2163</v>
      </c>
      <c r="S195">
        <f t="shared" si="19"/>
        <v>52.8</v>
      </c>
      <c r="T195">
        <f t="shared" ref="T195:T258" si="21">ROUND(1/COS(RADIANS(LEFT(M195,2)*1)),3)</f>
        <v>1.155</v>
      </c>
      <c r="U195">
        <f t="shared" ref="U195:U258" si="22">P195+Q195*B$3*T195</f>
        <v>45.971600000000002</v>
      </c>
      <c r="V195">
        <f t="shared" ref="V195:V258" si="23">R195+S195*B$3*T195</f>
        <v>3626.616</v>
      </c>
      <c r="W195" s="58" t="str">
        <f t="shared" ref="W195:W241" si="24">CONCATENATE(LEFT(M195,2)*1,"° Skew Variable Width Abutment ",RIGHT(M195,2),"% Skewed Wings")</f>
        <v>30° Skew Variable Width Abutment 25% Skewed Wings</v>
      </c>
    </row>
    <row r="196" spans="13:23" x14ac:dyDescent="0.25">
      <c r="M196" t="s">
        <v>130</v>
      </c>
      <c r="N196">
        <v>7</v>
      </c>
      <c r="O196" t="str">
        <f t="shared" si="20"/>
        <v>30_25_7</v>
      </c>
      <c r="P196">
        <v>34.5</v>
      </c>
      <c r="Q196">
        <f t="shared" si="18"/>
        <v>0.93</v>
      </c>
      <c r="R196">
        <v>3232</v>
      </c>
      <c r="S196">
        <f t="shared" si="19"/>
        <v>68.7</v>
      </c>
      <c r="T196">
        <f t="shared" si="21"/>
        <v>1.155</v>
      </c>
      <c r="U196">
        <f t="shared" si="22"/>
        <v>60.279600000000002</v>
      </c>
      <c r="V196">
        <f t="shared" si="23"/>
        <v>5136.3640000000005</v>
      </c>
      <c r="W196" s="58" t="str">
        <f t="shared" si="24"/>
        <v>30° Skew Variable Width Abutment 25% Skewed Wings</v>
      </c>
    </row>
    <row r="197" spans="13:23" x14ac:dyDescent="0.25">
      <c r="M197" t="s">
        <v>130</v>
      </c>
      <c r="N197">
        <v>8</v>
      </c>
      <c r="O197" t="str">
        <f t="shared" si="20"/>
        <v>30_25_8</v>
      </c>
      <c r="P197">
        <v>36.93</v>
      </c>
      <c r="Q197">
        <f t="shared" si="18"/>
        <v>1.01</v>
      </c>
      <c r="R197">
        <v>3232</v>
      </c>
      <c r="S197">
        <f t="shared" si="19"/>
        <v>68.7</v>
      </c>
      <c r="T197">
        <f t="shared" si="21"/>
        <v>1.155</v>
      </c>
      <c r="U197">
        <f t="shared" si="22"/>
        <v>64.927199999999999</v>
      </c>
      <c r="V197">
        <f t="shared" si="23"/>
        <v>5136.3640000000005</v>
      </c>
      <c r="W197" s="58" t="str">
        <f t="shared" si="24"/>
        <v>30° Skew Variable Width Abutment 25% Skewed Wings</v>
      </c>
    </row>
    <row r="198" spans="13:23" x14ac:dyDescent="0.25">
      <c r="M198" t="s">
        <v>130</v>
      </c>
      <c r="N198">
        <v>9</v>
      </c>
      <c r="O198" t="str">
        <f t="shared" si="20"/>
        <v>30_25_9</v>
      </c>
      <c r="P198">
        <v>52.02</v>
      </c>
      <c r="Q198">
        <f t="shared" si="18"/>
        <v>1.19</v>
      </c>
      <c r="R198">
        <v>4969</v>
      </c>
      <c r="S198">
        <f t="shared" si="19"/>
        <v>91</v>
      </c>
      <c r="T198">
        <f t="shared" si="21"/>
        <v>1.155</v>
      </c>
      <c r="U198">
        <f t="shared" si="22"/>
        <v>85.006799999999998</v>
      </c>
      <c r="V198">
        <f t="shared" si="23"/>
        <v>7491.52</v>
      </c>
      <c r="W198" s="58" t="str">
        <f t="shared" si="24"/>
        <v>30° Skew Variable Width Abutment 25% Skewed Wings</v>
      </c>
    </row>
    <row r="199" spans="13:23" x14ac:dyDescent="0.25">
      <c r="M199" t="s">
        <v>130</v>
      </c>
      <c r="N199">
        <v>10</v>
      </c>
      <c r="O199" t="str">
        <f t="shared" si="20"/>
        <v>30_25_10</v>
      </c>
      <c r="P199">
        <v>54.98</v>
      </c>
      <c r="Q199">
        <f t="shared" si="18"/>
        <v>1.27</v>
      </c>
      <c r="R199">
        <v>4969</v>
      </c>
      <c r="S199">
        <f t="shared" si="19"/>
        <v>91</v>
      </c>
      <c r="T199">
        <f t="shared" si="21"/>
        <v>1.155</v>
      </c>
      <c r="U199">
        <f t="shared" si="22"/>
        <v>90.184399999999997</v>
      </c>
      <c r="V199">
        <f t="shared" si="23"/>
        <v>7491.52</v>
      </c>
      <c r="W199" s="58" t="str">
        <f t="shared" si="24"/>
        <v>30° Skew Variable Width Abutment 25% Skewed Wings</v>
      </c>
    </row>
    <row r="200" spans="13:23" x14ac:dyDescent="0.25">
      <c r="M200" t="s">
        <v>130</v>
      </c>
      <c r="N200">
        <v>11</v>
      </c>
      <c r="O200" t="str">
        <f t="shared" si="20"/>
        <v>30_25_11</v>
      </c>
      <c r="P200">
        <v>69.94</v>
      </c>
      <c r="Q200">
        <f t="shared" si="18"/>
        <v>1.41</v>
      </c>
      <c r="R200">
        <v>7260</v>
      </c>
      <c r="S200">
        <f t="shared" si="19"/>
        <v>120.4</v>
      </c>
      <c r="T200">
        <f t="shared" si="21"/>
        <v>1.155</v>
      </c>
      <c r="U200">
        <f t="shared" si="22"/>
        <v>109.02519999999998</v>
      </c>
      <c r="V200">
        <f t="shared" si="23"/>
        <v>10597.488000000001</v>
      </c>
      <c r="W200" s="58" t="str">
        <f t="shared" si="24"/>
        <v>30° Skew Variable Width Abutment 25% Skewed Wings</v>
      </c>
    </row>
    <row r="201" spans="13:23" x14ac:dyDescent="0.25">
      <c r="M201" t="s">
        <v>130</v>
      </c>
      <c r="N201">
        <v>12</v>
      </c>
      <c r="O201" t="str">
        <f t="shared" si="20"/>
        <v>30_25_12</v>
      </c>
      <c r="P201">
        <v>73.33</v>
      </c>
      <c r="Q201">
        <f t="shared" si="18"/>
        <v>1.49</v>
      </c>
      <c r="R201">
        <v>7260</v>
      </c>
      <c r="S201">
        <f t="shared" si="19"/>
        <v>120.4</v>
      </c>
      <c r="T201">
        <f t="shared" si="21"/>
        <v>1.155</v>
      </c>
      <c r="U201">
        <f t="shared" si="22"/>
        <v>114.6328</v>
      </c>
      <c r="V201">
        <f t="shared" si="23"/>
        <v>10597.488000000001</v>
      </c>
      <c r="W201" s="58" t="str">
        <f t="shared" si="24"/>
        <v>30° Skew Variable Width Abutment 25% Skewed Wings</v>
      </c>
    </row>
    <row r="202" spans="13:23" x14ac:dyDescent="0.25">
      <c r="M202" t="s">
        <v>130</v>
      </c>
      <c r="N202">
        <v>13</v>
      </c>
      <c r="O202" t="str">
        <f t="shared" si="20"/>
        <v>30_25_13</v>
      </c>
      <c r="P202">
        <v>90.51</v>
      </c>
      <c r="Q202">
        <f t="shared" si="18"/>
        <v>1.64</v>
      </c>
      <c r="R202">
        <v>10566</v>
      </c>
      <c r="S202">
        <f t="shared" si="19"/>
        <v>161</v>
      </c>
      <c r="T202">
        <f t="shared" si="21"/>
        <v>1.155</v>
      </c>
      <c r="U202">
        <f t="shared" si="22"/>
        <v>135.9708</v>
      </c>
      <c r="V202">
        <f t="shared" si="23"/>
        <v>15028.92</v>
      </c>
      <c r="W202" s="58" t="str">
        <f t="shared" si="24"/>
        <v>30° Skew Variable Width Abutment 25% Skewed Wings</v>
      </c>
    </row>
    <row r="203" spans="13:23" x14ac:dyDescent="0.25">
      <c r="M203" t="s">
        <v>130</v>
      </c>
      <c r="N203">
        <v>14</v>
      </c>
      <c r="O203" t="str">
        <f t="shared" si="20"/>
        <v>30_25_14</v>
      </c>
      <c r="P203">
        <v>94.36</v>
      </c>
      <c r="Q203">
        <f t="shared" si="18"/>
        <v>1.71</v>
      </c>
      <c r="R203">
        <v>10566</v>
      </c>
      <c r="S203">
        <f t="shared" si="19"/>
        <v>161</v>
      </c>
      <c r="T203">
        <f t="shared" si="21"/>
        <v>1.155</v>
      </c>
      <c r="U203">
        <f t="shared" si="22"/>
        <v>141.7612</v>
      </c>
      <c r="V203">
        <f t="shared" si="23"/>
        <v>15028.92</v>
      </c>
      <c r="W203" s="58" t="str">
        <f t="shared" si="24"/>
        <v>30° Skew Variable Width Abutment 25% Skewed Wings</v>
      </c>
    </row>
    <row r="204" spans="13:23" x14ac:dyDescent="0.25">
      <c r="M204" t="s">
        <v>130</v>
      </c>
      <c r="N204">
        <v>15</v>
      </c>
      <c r="O204" t="str">
        <f t="shared" si="20"/>
        <v>30_25_15</v>
      </c>
      <c r="P204">
        <v>115.71</v>
      </c>
      <c r="Q204">
        <f t="shared" si="18"/>
        <v>1.86</v>
      </c>
      <c r="R204">
        <v>14465</v>
      </c>
      <c r="S204">
        <f t="shared" si="19"/>
        <v>198.6</v>
      </c>
      <c r="T204">
        <f t="shared" si="21"/>
        <v>1.155</v>
      </c>
      <c r="U204">
        <f t="shared" si="22"/>
        <v>167.26920000000001</v>
      </c>
      <c r="V204">
        <f t="shared" si="23"/>
        <v>19970.191999999999</v>
      </c>
      <c r="W204" s="58" t="str">
        <f t="shared" si="24"/>
        <v>30° Skew Variable Width Abutment 25% Skewed Wings</v>
      </c>
    </row>
    <row r="205" spans="13:23" x14ac:dyDescent="0.25">
      <c r="M205" t="s">
        <v>130</v>
      </c>
      <c r="N205">
        <v>16</v>
      </c>
      <c r="O205" t="str">
        <f t="shared" si="20"/>
        <v>30_25_16</v>
      </c>
      <c r="P205">
        <v>120.07</v>
      </c>
      <c r="Q205">
        <f t="shared" si="18"/>
        <v>1.93</v>
      </c>
      <c r="R205">
        <v>14465</v>
      </c>
      <c r="S205">
        <f t="shared" si="19"/>
        <v>198.6</v>
      </c>
      <c r="T205">
        <f t="shared" si="21"/>
        <v>1.155</v>
      </c>
      <c r="U205">
        <f t="shared" si="22"/>
        <v>173.56959999999998</v>
      </c>
      <c r="V205">
        <f t="shared" si="23"/>
        <v>19970.191999999999</v>
      </c>
      <c r="W205" s="58" t="str">
        <f t="shared" si="24"/>
        <v>30° Skew Variable Width Abutment 25% Skewed Wings</v>
      </c>
    </row>
    <row r="206" spans="13:23" x14ac:dyDescent="0.25">
      <c r="M206" t="s">
        <v>131</v>
      </c>
      <c r="N206">
        <v>5</v>
      </c>
      <c r="O206" t="str">
        <f t="shared" si="20"/>
        <v>35_25_5</v>
      </c>
      <c r="P206">
        <v>23.58</v>
      </c>
      <c r="Q206">
        <f t="shared" si="18"/>
        <v>0.71</v>
      </c>
      <c r="R206">
        <v>2265</v>
      </c>
      <c r="S206">
        <f t="shared" si="19"/>
        <v>52.8</v>
      </c>
      <c r="T206">
        <f t="shared" si="21"/>
        <v>1.2210000000000001</v>
      </c>
      <c r="U206">
        <f t="shared" si="22"/>
        <v>44.385840000000002</v>
      </c>
      <c r="V206">
        <f t="shared" si="23"/>
        <v>3812.2511999999997</v>
      </c>
      <c r="W206" s="58" t="str">
        <f t="shared" si="24"/>
        <v>35° Skew Variable Width Abutment 25% Skewed Wings</v>
      </c>
    </row>
    <row r="207" spans="13:23" x14ac:dyDescent="0.25">
      <c r="M207" t="s">
        <v>131</v>
      </c>
      <c r="N207">
        <v>6</v>
      </c>
      <c r="O207" t="str">
        <f t="shared" si="20"/>
        <v>35_25_6</v>
      </c>
      <c r="P207">
        <v>25.67</v>
      </c>
      <c r="Q207">
        <f t="shared" si="18"/>
        <v>0.78</v>
      </c>
      <c r="R207">
        <v>2265</v>
      </c>
      <c r="S207">
        <f t="shared" si="19"/>
        <v>52.8</v>
      </c>
      <c r="T207">
        <f t="shared" si="21"/>
        <v>1.2210000000000001</v>
      </c>
      <c r="U207">
        <f t="shared" si="22"/>
        <v>48.527120000000004</v>
      </c>
      <c r="V207">
        <f t="shared" si="23"/>
        <v>3812.2511999999997</v>
      </c>
      <c r="W207" s="58" t="str">
        <f t="shared" si="24"/>
        <v>35° Skew Variable Width Abutment 25% Skewed Wings</v>
      </c>
    </row>
    <row r="208" spans="13:23" x14ac:dyDescent="0.25">
      <c r="M208" t="s">
        <v>131</v>
      </c>
      <c r="N208">
        <v>7</v>
      </c>
      <c r="O208" t="str">
        <f t="shared" si="20"/>
        <v>35_25_7</v>
      </c>
      <c r="P208">
        <v>36.04</v>
      </c>
      <c r="Q208">
        <f t="shared" si="18"/>
        <v>0.93</v>
      </c>
      <c r="R208">
        <v>3363</v>
      </c>
      <c r="S208">
        <f t="shared" si="19"/>
        <v>68.7</v>
      </c>
      <c r="T208">
        <f t="shared" si="21"/>
        <v>1.2210000000000001</v>
      </c>
      <c r="U208">
        <f t="shared" si="22"/>
        <v>63.292720000000003</v>
      </c>
      <c r="V208">
        <f t="shared" si="23"/>
        <v>5376.1848000000009</v>
      </c>
      <c r="W208" s="58" t="str">
        <f t="shared" si="24"/>
        <v>35° Skew Variable Width Abutment 25% Skewed Wings</v>
      </c>
    </row>
    <row r="209" spans="13:23" x14ac:dyDescent="0.25">
      <c r="M209" t="s">
        <v>131</v>
      </c>
      <c r="N209">
        <v>8</v>
      </c>
      <c r="O209" t="str">
        <f t="shared" si="20"/>
        <v>35_25_8</v>
      </c>
      <c r="P209">
        <v>38.58</v>
      </c>
      <c r="Q209">
        <f t="shared" si="18"/>
        <v>1.01</v>
      </c>
      <c r="R209">
        <v>3363</v>
      </c>
      <c r="S209">
        <f t="shared" si="19"/>
        <v>68.7</v>
      </c>
      <c r="T209">
        <f t="shared" si="21"/>
        <v>1.2210000000000001</v>
      </c>
      <c r="U209">
        <f t="shared" si="22"/>
        <v>68.177040000000005</v>
      </c>
      <c r="V209">
        <f t="shared" si="23"/>
        <v>5376.1848000000009</v>
      </c>
      <c r="W209" s="58" t="str">
        <f t="shared" si="24"/>
        <v>35° Skew Variable Width Abutment 25% Skewed Wings</v>
      </c>
    </row>
    <row r="210" spans="13:23" x14ac:dyDescent="0.25">
      <c r="M210" t="s">
        <v>131</v>
      </c>
      <c r="N210">
        <v>9</v>
      </c>
      <c r="O210" t="str">
        <f t="shared" si="20"/>
        <v>35_25_9</v>
      </c>
      <c r="P210">
        <v>53.94</v>
      </c>
      <c r="Q210">
        <f t="shared" si="18"/>
        <v>1.19</v>
      </c>
      <c r="R210">
        <v>5110</v>
      </c>
      <c r="S210">
        <f t="shared" si="19"/>
        <v>91</v>
      </c>
      <c r="T210">
        <f t="shared" si="21"/>
        <v>1.2210000000000001</v>
      </c>
      <c r="U210">
        <f t="shared" si="22"/>
        <v>88.811759999999992</v>
      </c>
      <c r="V210">
        <f t="shared" si="23"/>
        <v>7776.6640000000007</v>
      </c>
      <c r="W210" s="58" t="str">
        <f t="shared" si="24"/>
        <v>35° Skew Variable Width Abutment 25% Skewed Wings</v>
      </c>
    </row>
    <row r="211" spans="13:23" x14ac:dyDescent="0.25">
      <c r="M211" t="s">
        <v>131</v>
      </c>
      <c r="N211">
        <v>10</v>
      </c>
      <c r="O211" t="str">
        <f t="shared" si="20"/>
        <v>35_25_10</v>
      </c>
      <c r="P211">
        <v>57</v>
      </c>
      <c r="Q211">
        <f t="shared" si="18"/>
        <v>1.27</v>
      </c>
      <c r="R211">
        <v>5110</v>
      </c>
      <c r="S211">
        <f t="shared" si="19"/>
        <v>91</v>
      </c>
      <c r="T211">
        <f t="shared" si="21"/>
        <v>1.2210000000000001</v>
      </c>
      <c r="U211">
        <f t="shared" si="22"/>
        <v>94.216080000000005</v>
      </c>
      <c r="V211">
        <f t="shared" si="23"/>
        <v>7776.6640000000007</v>
      </c>
      <c r="W211" s="58" t="str">
        <f t="shared" si="24"/>
        <v>35° Skew Variable Width Abutment 25% Skewed Wings</v>
      </c>
    </row>
    <row r="212" spans="13:23" x14ac:dyDescent="0.25">
      <c r="M212" t="s">
        <v>131</v>
      </c>
      <c r="N212">
        <v>11</v>
      </c>
      <c r="O212" t="str">
        <f t="shared" si="20"/>
        <v>35_25_11</v>
      </c>
      <c r="P212">
        <v>73.69</v>
      </c>
      <c r="Q212">
        <f t="shared" si="18"/>
        <v>1.41</v>
      </c>
      <c r="R212">
        <v>7612</v>
      </c>
      <c r="S212">
        <f t="shared" si="19"/>
        <v>120.4</v>
      </c>
      <c r="T212">
        <f t="shared" si="21"/>
        <v>1.2210000000000001</v>
      </c>
      <c r="U212">
        <f t="shared" si="22"/>
        <v>115.00863999999999</v>
      </c>
      <c r="V212">
        <f t="shared" si="23"/>
        <v>11140.2016</v>
      </c>
      <c r="W212" s="58" t="str">
        <f t="shared" si="24"/>
        <v>35° Skew Variable Width Abutment 25% Skewed Wings</v>
      </c>
    </row>
    <row r="213" spans="13:23" x14ac:dyDescent="0.25">
      <c r="M213" t="s">
        <v>131</v>
      </c>
      <c r="N213">
        <v>12</v>
      </c>
      <c r="O213" t="str">
        <f t="shared" si="20"/>
        <v>35_25_12</v>
      </c>
      <c r="P213">
        <v>77.27</v>
      </c>
      <c r="Q213">
        <f t="shared" si="18"/>
        <v>1.49</v>
      </c>
      <c r="R213">
        <v>7612</v>
      </c>
      <c r="S213">
        <f t="shared" si="19"/>
        <v>120.4</v>
      </c>
      <c r="T213">
        <f t="shared" si="21"/>
        <v>1.2210000000000001</v>
      </c>
      <c r="U213">
        <f t="shared" si="22"/>
        <v>120.93295999999999</v>
      </c>
      <c r="V213">
        <f t="shared" si="23"/>
        <v>11140.2016</v>
      </c>
      <c r="W213" s="58" t="str">
        <f t="shared" si="24"/>
        <v>35° Skew Variable Width Abutment 25% Skewed Wings</v>
      </c>
    </row>
    <row r="214" spans="13:23" x14ac:dyDescent="0.25">
      <c r="M214" t="s">
        <v>131</v>
      </c>
      <c r="N214">
        <v>13</v>
      </c>
      <c r="O214" t="str">
        <f t="shared" si="20"/>
        <v>35_25_13</v>
      </c>
      <c r="P214">
        <v>96.54</v>
      </c>
      <c r="Q214">
        <f t="shared" si="18"/>
        <v>1.64</v>
      </c>
      <c r="R214">
        <v>11200</v>
      </c>
      <c r="S214">
        <f t="shared" si="19"/>
        <v>161</v>
      </c>
      <c r="T214">
        <f t="shared" si="21"/>
        <v>1.2210000000000001</v>
      </c>
      <c r="U214">
        <f t="shared" si="22"/>
        <v>144.59856000000002</v>
      </c>
      <c r="V214">
        <f t="shared" si="23"/>
        <v>15917.944</v>
      </c>
      <c r="W214" s="58" t="str">
        <f t="shared" si="24"/>
        <v>35° Skew Variable Width Abutment 25% Skewed Wings</v>
      </c>
    </row>
    <row r="215" spans="13:23" x14ac:dyDescent="0.25">
      <c r="M215" t="s">
        <v>131</v>
      </c>
      <c r="N215">
        <v>14</v>
      </c>
      <c r="O215" t="str">
        <f t="shared" si="20"/>
        <v>35_25_14</v>
      </c>
      <c r="P215">
        <v>100.64</v>
      </c>
      <c r="Q215">
        <f t="shared" si="18"/>
        <v>1.71</v>
      </c>
      <c r="R215">
        <v>11200</v>
      </c>
      <c r="S215">
        <f t="shared" si="19"/>
        <v>161</v>
      </c>
      <c r="T215">
        <f t="shared" si="21"/>
        <v>1.2210000000000001</v>
      </c>
      <c r="U215">
        <f t="shared" si="22"/>
        <v>150.74984000000001</v>
      </c>
      <c r="V215">
        <f t="shared" si="23"/>
        <v>15917.944</v>
      </c>
      <c r="W215" s="58" t="str">
        <f t="shared" si="24"/>
        <v>35° Skew Variable Width Abutment 25% Skewed Wings</v>
      </c>
    </row>
    <row r="216" spans="13:23" x14ac:dyDescent="0.25">
      <c r="M216" t="s">
        <v>131</v>
      </c>
      <c r="N216">
        <v>15</v>
      </c>
      <c r="O216" t="str">
        <f t="shared" si="20"/>
        <v>35_25_15</v>
      </c>
      <c r="P216">
        <v>122.51</v>
      </c>
      <c r="Q216">
        <f t="shared" si="18"/>
        <v>1.86</v>
      </c>
      <c r="R216">
        <v>15233</v>
      </c>
      <c r="S216">
        <f t="shared" si="19"/>
        <v>198.6</v>
      </c>
      <c r="T216">
        <f t="shared" si="21"/>
        <v>1.2210000000000001</v>
      </c>
      <c r="U216">
        <f t="shared" si="22"/>
        <v>177.01544000000001</v>
      </c>
      <c r="V216">
        <f t="shared" si="23"/>
        <v>21052.774400000002</v>
      </c>
      <c r="W216" s="58" t="str">
        <f t="shared" si="24"/>
        <v>35° Skew Variable Width Abutment 25% Skewed Wings</v>
      </c>
    </row>
    <row r="217" spans="13:23" x14ac:dyDescent="0.25">
      <c r="M217" t="s">
        <v>131</v>
      </c>
      <c r="N217">
        <v>16</v>
      </c>
      <c r="O217" t="str">
        <f t="shared" si="20"/>
        <v>35_25_16</v>
      </c>
      <c r="P217">
        <v>127.13</v>
      </c>
      <c r="Q217">
        <f t="shared" si="18"/>
        <v>1.93</v>
      </c>
      <c r="R217">
        <v>15233</v>
      </c>
      <c r="S217">
        <f t="shared" si="19"/>
        <v>198.6</v>
      </c>
      <c r="T217">
        <f t="shared" si="21"/>
        <v>1.2210000000000001</v>
      </c>
      <c r="U217">
        <f t="shared" si="22"/>
        <v>183.68672000000001</v>
      </c>
      <c r="V217">
        <f t="shared" si="23"/>
        <v>21052.774400000002</v>
      </c>
      <c r="W217" s="58" t="str">
        <f t="shared" si="24"/>
        <v>35° Skew Variable Width Abutment 25% Skewed Wings</v>
      </c>
    </row>
    <row r="218" spans="13:23" x14ac:dyDescent="0.25">
      <c r="M218" t="s">
        <v>132</v>
      </c>
      <c r="N218">
        <v>5</v>
      </c>
      <c r="O218" t="str">
        <f t="shared" si="20"/>
        <v>40_25_5</v>
      </c>
      <c r="P218">
        <v>24.9</v>
      </c>
      <c r="Q218">
        <f t="shared" si="18"/>
        <v>0.71</v>
      </c>
      <c r="R218">
        <v>2378</v>
      </c>
      <c r="S218">
        <f t="shared" si="19"/>
        <v>52.8</v>
      </c>
      <c r="T218">
        <f t="shared" si="21"/>
        <v>1.3049999999999999</v>
      </c>
      <c r="U218">
        <f t="shared" si="22"/>
        <v>47.137199999999993</v>
      </c>
      <c r="V218">
        <f t="shared" si="23"/>
        <v>4031.6959999999999</v>
      </c>
      <c r="W218" s="58" t="str">
        <f t="shared" si="24"/>
        <v>40° Skew Variable Width Abutment 25% Skewed Wings</v>
      </c>
    </row>
    <row r="219" spans="13:23" x14ac:dyDescent="0.25">
      <c r="M219" t="s">
        <v>132</v>
      </c>
      <c r="N219">
        <v>6</v>
      </c>
      <c r="O219" t="str">
        <f t="shared" si="20"/>
        <v>40_25_6</v>
      </c>
      <c r="P219">
        <v>27.11</v>
      </c>
      <c r="Q219">
        <f t="shared" si="18"/>
        <v>0.78</v>
      </c>
      <c r="R219">
        <v>2378</v>
      </c>
      <c r="S219">
        <f t="shared" si="19"/>
        <v>52.8</v>
      </c>
      <c r="T219">
        <f t="shared" si="21"/>
        <v>1.3049999999999999</v>
      </c>
      <c r="U219">
        <f t="shared" si="22"/>
        <v>51.539599999999993</v>
      </c>
      <c r="V219">
        <f t="shared" si="23"/>
        <v>4031.6959999999999</v>
      </c>
      <c r="W219" s="58" t="str">
        <f t="shared" si="24"/>
        <v>40° Skew Variable Width Abutment 25% Skewed Wings</v>
      </c>
    </row>
    <row r="220" spans="13:23" x14ac:dyDescent="0.25">
      <c r="M220" t="s">
        <v>132</v>
      </c>
      <c r="N220">
        <v>7</v>
      </c>
      <c r="O220" t="str">
        <f t="shared" si="20"/>
        <v>40_25_7</v>
      </c>
      <c r="P220">
        <v>38.74</v>
      </c>
      <c r="Q220">
        <f t="shared" si="18"/>
        <v>0.93</v>
      </c>
      <c r="R220">
        <v>3585</v>
      </c>
      <c r="S220">
        <f t="shared" si="19"/>
        <v>68.7</v>
      </c>
      <c r="T220">
        <f t="shared" si="21"/>
        <v>1.3049999999999999</v>
      </c>
      <c r="U220">
        <f t="shared" si="22"/>
        <v>67.867599999999996</v>
      </c>
      <c r="V220">
        <f t="shared" si="23"/>
        <v>5736.6840000000002</v>
      </c>
      <c r="W220" s="58" t="str">
        <f t="shared" si="24"/>
        <v>40° Skew Variable Width Abutment 25% Skewed Wings</v>
      </c>
    </row>
    <row r="221" spans="13:23" x14ac:dyDescent="0.25">
      <c r="M221" t="s">
        <v>132</v>
      </c>
      <c r="N221">
        <v>8</v>
      </c>
      <c r="O221" t="str">
        <f t="shared" si="20"/>
        <v>40_25_8</v>
      </c>
      <c r="P221">
        <v>41.47</v>
      </c>
      <c r="Q221">
        <f t="shared" si="18"/>
        <v>1.01</v>
      </c>
      <c r="R221">
        <v>3585</v>
      </c>
      <c r="S221">
        <f t="shared" si="19"/>
        <v>68.7</v>
      </c>
      <c r="T221">
        <f t="shared" si="21"/>
        <v>1.3049999999999999</v>
      </c>
      <c r="U221">
        <f t="shared" si="22"/>
        <v>73.103200000000001</v>
      </c>
      <c r="V221">
        <f t="shared" si="23"/>
        <v>5736.6840000000002</v>
      </c>
      <c r="W221" s="58" t="str">
        <f t="shared" si="24"/>
        <v>40° Skew Variable Width Abutment 25% Skewed Wings</v>
      </c>
    </row>
    <row r="222" spans="13:23" x14ac:dyDescent="0.25">
      <c r="M222" t="s">
        <v>132</v>
      </c>
      <c r="N222">
        <v>9</v>
      </c>
      <c r="O222" t="str">
        <f t="shared" si="20"/>
        <v>40_25_9</v>
      </c>
      <c r="P222">
        <v>57.31</v>
      </c>
      <c r="Q222">
        <f t="shared" si="18"/>
        <v>1.19</v>
      </c>
      <c r="R222">
        <v>5417</v>
      </c>
      <c r="S222">
        <f t="shared" si="19"/>
        <v>91</v>
      </c>
      <c r="T222">
        <f t="shared" si="21"/>
        <v>1.3049999999999999</v>
      </c>
      <c r="U222">
        <f t="shared" si="22"/>
        <v>94.580799999999996</v>
      </c>
      <c r="V222">
        <f t="shared" si="23"/>
        <v>8267.119999999999</v>
      </c>
      <c r="W222" s="58" t="str">
        <f t="shared" si="24"/>
        <v>40° Skew Variable Width Abutment 25% Skewed Wings</v>
      </c>
    </row>
    <row r="223" spans="13:23" x14ac:dyDescent="0.25">
      <c r="M223" t="s">
        <v>132</v>
      </c>
      <c r="N223">
        <v>10</v>
      </c>
      <c r="O223" t="str">
        <f t="shared" si="20"/>
        <v>40_25_10</v>
      </c>
      <c r="P223">
        <v>60.57</v>
      </c>
      <c r="Q223">
        <f t="shared" si="18"/>
        <v>1.27</v>
      </c>
      <c r="R223">
        <v>5417</v>
      </c>
      <c r="S223">
        <f t="shared" si="19"/>
        <v>91</v>
      </c>
      <c r="T223">
        <f t="shared" si="21"/>
        <v>1.3049999999999999</v>
      </c>
      <c r="U223">
        <f t="shared" si="22"/>
        <v>100.34639999999999</v>
      </c>
      <c r="V223">
        <f t="shared" si="23"/>
        <v>8267.119999999999</v>
      </c>
      <c r="W223" s="58" t="str">
        <f t="shared" si="24"/>
        <v>40° Skew Variable Width Abutment 25% Skewed Wings</v>
      </c>
    </row>
    <row r="224" spans="13:23" x14ac:dyDescent="0.25">
      <c r="M224" t="s">
        <v>132</v>
      </c>
      <c r="N224">
        <v>11</v>
      </c>
      <c r="O224" t="str">
        <f t="shared" si="20"/>
        <v>40_25_11</v>
      </c>
      <c r="P224">
        <v>77.63</v>
      </c>
      <c r="Q224">
        <f t="shared" si="18"/>
        <v>1.41</v>
      </c>
      <c r="R224">
        <v>7970</v>
      </c>
      <c r="S224">
        <f t="shared" si="19"/>
        <v>120.4</v>
      </c>
      <c r="T224">
        <f t="shared" si="21"/>
        <v>1.3049999999999999</v>
      </c>
      <c r="U224">
        <f t="shared" si="22"/>
        <v>121.79119999999999</v>
      </c>
      <c r="V224">
        <f t="shared" si="23"/>
        <v>11740.928</v>
      </c>
      <c r="W224" s="58" t="str">
        <f t="shared" si="24"/>
        <v>40° Skew Variable Width Abutment 25% Skewed Wings</v>
      </c>
    </row>
    <row r="225" spans="13:23" x14ac:dyDescent="0.25">
      <c r="M225" t="s">
        <v>132</v>
      </c>
      <c r="N225">
        <v>12</v>
      </c>
      <c r="O225" t="str">
        <f t="shared" si="20"/>
        <v>40_25_12</v>
      </c>
      <c r="P225">
        <v>81.400000000000006</v>
      </c>
      <c r="Q225">
        <f t="shared" si="18"/>
        <v>1.49</v>
      </c>
      <c r="R225">
        <v>7970</v>
      </c>
      <c r="S225">
        <f t="shared" si="19"/>
        <v>120.4</v>
      </c>
      <c r="T225">
        <f t="shared" si="21"/>
        <v>1.3049999999999999</v>
      </c>
      <c r="U225">
        <f t="shared" si="22"/>
        <v>128.0668</v>
      </c>
      <c r="V225">
        <f t="shared" si="23"/>
        <v>11740.928</v>
      </c>
      <c r="W225" s="58" t="str">
        <f t="shared" si="24"/>
        <v>40° Skew Variable Width Abutment 25% Skewed Wings</v>
      </c>
    </row>
    <row r="226" spans="13:23" x14ac:dyDescent="0.25">
      <c r="M226" t="s">
        <v>132</v>
      </c>
      <c r="N226">
        <v>13</v>
      </c>
      <c r="O226" t="str">
        <f t="shared" si="20"/>
        <v>40_25_13</v>
      </c>
      <c r="P226">
        <v>101.07</v>
      </c>
      <c r="Q226">
        <f t="shared" si="18"/>
        <v>1.64</v>
      </c>
      <c r="R226">
        <v>11721</v>
      </c>
      <c r="S226">
        <f t="shared" si="19"/>
        <v>161</v>
      </c>
      <c r="T226">
        <f t="shared" si="21"/>
        <v>1.3049999999999999</v>
      </c>
      <c r="U226">
        <f t="shared" si="22"/>
        <v>152.4348</v>
      </c>
      <c r="V226">
        <f t="shared" si="23"/>
        <v>16763.52</v>
      </c>
      <c r="W226" s="58" t="str">
        <f t="shared" si="24"/>
        <v>40° Skew Variable Width Abutment 25% Skewed Wings</v>
      </c>
    </row>
    <row r="227" spans="13:23" x14ac:dyDescent="0.25">
      <c r="M227" t="s">
        <v>132</v>
      </c>
      <c r="N227">
        <v>14</v>
      </c>
      <c r="O227" t="str">
        <f t="shared" si="20"/>
        <v>40_25_14</v>
      </c>
      <c r="P227">
        <v>105.36</v>
      </c>
      <c r="Q227">
        <f t="shared" si="18"/>
        <v>1.71</v>
      </c>
      <c r="R227">
        <v>11721</v>
      </c>
      <c r="S227">
        <f t="shared" si="19"/>
        <v>161</v>
      </c>
      <c r="T227">
        <f t="shared" si="21"/>
        <v>1.3049999999999999</v>
      </c>
      <c r="U227">
        <f t="shared" si="22"/>
        <v>158.91719999999998</v>
      </c>
      <c r="V227">
        <f t="shared" si="23"/>
        <v>16763.52</v>
      </c>
      <c r="W227" s="58" t="str">
        <f t="shared" si="24"/>
        <v>40° Skew Variable Width Abutment 25% Skewed Wings</v>
      </c>
    </row>
    <row r="228" spans="13:23" x14ac:dyDescent="0.25">
      <c r="M228" t="s">
        <v>132</v>
      </c>
      <c r="N228">
        <v>15</v>
      </c>
      <c r="O228" t="str">
        <f t="shared" si="20"/>
        <v>40_25_15</v>
      </c>
      <c r="P228">
        <v>129.56</v>
      </c>
      <c r="Q228">
        <f t="shared" si="18"/>
        <v>1.86</v>
      </c>
      <c r="R228">
        <v>16006</v>
      </c>
      <c r="S228">
        <f t="shared" si="19"/>
        <v>198.6</v>
      </c>
      <c r="T228">
        <f t="shared" si="21"/>
        <v>1.3049999999999999</v>
      </c>
      <c r="U228">
        <f t="shared" si="22"/>
        <v>187.8152</v>
      </c>
      <c r="V228">
        <f t="shared" si="23"/>
        <v>22226.151999999998</v>
      </c>
      <c r="W228" s="58" t="str">
        <f t="shared" si="24"/>
        <v>40° Skew Variable Width Abutment 25% Skewed Wings</v>
      </c>
    </row>
    <row r="229" spans="13:23" x14ac:dyDescent="0.25">
      <c r="M229" t="s">
        <v>132</v>
      </c>
      <c r="N229">
        <v>16</v>
      </c>
      <c r="O229" t="str">
        <f t="shared" si="20"/>
        <v>40_25_16</v>
      </c>
      <c r="P229">
        <v>134.44</v>
      </c>
      <c r="Q229">
        <f t="shared" si="18"/>
        <v>1.93</v>
      </c>
      <c r="R229">
        <v>16006</v>
      </c>
      <c r="S229">
        <f t="shared" si="19"/>
        <v>198.6</v>
      </c>
      <c r="T229">
        <f t="shared" si="21"/>
        <v>1.3049999999999999</v>
      </c>
      <c r="U229">
        <f t="shared" si="22"/>
        <v>194.88759999999999</v>
      </c>
      <c r="V229">
        <f t="shared" si="23"/>
        <v>22226.151999999998</v>
      </c>
      <c r="W229" s="58" t="str">
        <f t="shared" si="24"/>
        <v>40° Skew Variable Width Abutment 25% Skewed Wings</v>
      </c>
    </row>
    <row r="230" spans="13:23" x14ac:dyDescent="0.25">
      <c r="M230" t="s">
        <v>133</v>
      </c>
      <c r="N230">
        <v>5</v>
      </c>
      <c r="O230" t="str">
        <f t="shared" si="20"/>
        <v>45_25_5</v>
      </c>
      <c r="P230">
        <v>25.56</v>
      </c>
      <c r="Q230">
        <f t="shared" si="18"/>
        <v>0.71</v>
      </c>
      <c r="R230">
        <v>2445</v>
      </c>
      <c r="S230">
        <f t="shared" si="19"/>
        <v>52.8</v>
      </c>
      <c r="T230">
        <f t="shared" si="21"/>
        <v>1.4139999999999999</v>
      </c>
      <c r="U230">
        <f t="shared" si="22"/>
        <v>49.654559999999996</v>
      </c>
      <c r="V230">
        <f t="shared" si="23"/>
        <v>4236.8207999999995</v>
      </c>
      <c r="W230" s="58" t="str">
        <f t="shared" si="24"/>
        <v>45° Skew Variable Width Abutment 25% Skewed Wings</v>
      </c>
    </row>
    <row r="231" spans="13:23" x14ac:dyDescent="0.25">
      <c r="M231" t="s">
        <v>133</v>
      </c>
      <c r="N231">
        <v>6</v>
      </c>
      <c r="O231" t="str">
        <f t="shared" si="20"/>
        <v>45_25_6</v>
      </c>
      <c r="P231">
        <v>27.83</v>
      </c>
      <c r="Q231">
        <f t="shared" si="18"/>
        <v>0.78</v>
      </c>
      <c r="R231">
        <v>2445</v>
      </c>
      <c r="S231">
        <f t="shared" si="19"/>
        <v>52.8</v>
      </c>
      <c r="T231">
        <f t="shared" si="21"/>
        <v>1.4139999999999999</v>
      </c>
      <c r="U231">
        <f t="shared" si="22"/>
        <v>54.300079999999994</v>
      </c>
      <c r="V231">
        <f t="shared" si="23"/>
        <v>4236.8207999999995</v>
      </c>
      <c r="W231" s="58" t="str">
        <f t="shared" si="24"/>
        <v>45° Skew Variable Width Abutment 25% Skewed Wings</v>
      </c>
    </row>
    <row r="232" spans="13:23" x14ac:dyDescent="0.25">
      <c r="M232" t="s">
        <v>133</v>
      </c>
      <c r="N232">
        <v>7</v>
      </c>
      <c r="O232" t="str">
        <f t="shared" si="20"/>
        <v>45_25_7</v>
      </c>
      <c r="P232">
        <v>39.56</v>
      </c>
      <c r="Q232">
        <f t="shared" si="18"/>
        <v>0.93</v>
      </c>
      <c r="R232">
        <v>3668</v>
      </c>
      <c r="S232">
        <f t="shared" si="19"/>
        <v>68.7</v>
      </c>
      <c r="T232">
        <f t="shared" si="21"/>
        <v>1.4139999999999999</v>
      </c>
      <c r="U232">
        <f t="shared" si="22"/>
        <v>71.120480000000001</v>
      </c>
      <c r="V232">
        <f t="shared" si="23"/>
        <v>5999.4032000000007</v>
      </c>
      <c r="W232" s="58" t="str">
        <f t="shared" si="24"/>
        <v>45° Skew Variable Width Abutment 25% Skewed Wings</v>
      </c>
    </row>
    <row r="233" spans="13:23" x14ac:dyDescent="0.25">
      <c r="M233" t="s">
        <v>133</v>
      </c>
      <c r="N233">
        <v>8</v>
      </c>
      <c r="O233" t="str">
        <f t="shared" si="20"/>
        <v>45_25_8</v>
      </c>
      <c r="P233">
        <v>42.35</v>
      </c>
      <c r="Q233">
        <f t="shared" si="18"/>
        <v>1.01</v>
      </c>
      <c r="R233">
        <v>3668</v>
      </c>
      <c r="S233">
        <f t="shared" si="19"/>
        <v>68.7</v>
      </c>
      <c r="T233">
        <f t="shared" si="21"/>
        <v>1.4139999999999999</v>
      </c>
      <c r="U233">
        <f t="shared" si="22"/>
        <v>76.625360000000001</v>
      </c>
      <c r="V233">
        <f t="shared" si="23"/>
        <v>5999.4032000000007</v>
      </c>
      <c r="W233" s="58" t="str">
        <f t="shared" si="24"/>
        <v>45° Skew Variable Width Abutment 25% Skewed Wings</v>
      </c>
    </row>
    <row r="234" spans="13:23" x14ac:dyDescent="0.25">
      <c r="M234" t="s">
        <v>133</v>
      </c>
      <c r="N234">
        <v>9</v>
      </c>
      <c r="O234" t="str">
        <f t="shared" si="20"/>
        <v>45_25_9</v>
      </c>
      <c r="P234">
        <v>58.33</v>
      </c>
      <c r="Q234">
        <f t="shared" si="18"/>
        <v>1.19</v>
      </c>
      <c r="R234">
        <v>5496</v>
      </c>
      <c r="S234">
        <f t="shared" si="19"/>
        <v>91</v>
      </c>
      <c r="T234">
        <f t="shared" si="21"/>
        <v>1.4139999999999999</v>
      </c>
      <c r="U234">
        <f t="shared" si="22"/>
        <v>98.713840000000005</v>
      </c>
      <c r="V234">
        <f t="shared" si="23"/>
        <v>8584.1759999999995</v>
      </c>
      <c r="W234" s="58" t="str">
        <f t="shared" si="24"/>
        <v>45° Skew Variable Width Abutment 25% Skewed Wings</v>
      </c>
    </row>
    <row r="235" spans="13:23" x14ac:dyDescent="0.25">
      <c r="M235" t="s">
        <v>133</v>
      </c>
      <c r="N235">
        <v>10</v>
      </c>
      <c r="O235" t="str">
        <f t="shared" si="20"/>
        <v>45_25_10</v>
      </c>
      <c r="P235">
        <v>61.64</v>
      </c>
      <c r="Q235">
        <f t="shared" ref="Q235:Q241" si="25">Q223</f>
        <v>1.27</v>
      </c>
      <c r="R235">
        <v>5496</v>
      </c>
      <c r="S235">
        <f t="shared" ref="S235:S241" si="26">S223</f>
        <v>91</v>
      </c>
      <c r="T235">
        <f t="shared" si="21"/>
        <v>1.4139999999999999</v>
      </c>
      <c r="U235">
        <f t="shared" si="22"/>
        <v>104.73872</v>
      </c>
      <c r="V235">
        <f t="shared" si="23"/>
        <v>8584.1759999999995</v>
      </c>
      <c r="W235" s="58" t="str">
        <f t="shared" si="24"/>
        <v>45° Skew Variable Width Abutment 25% Skewed Wings</v>
      </c>
    </row>
    <row r="236" spans="13:23" x14ac:dyDescent="0.25">
      <c r="M236" t="s">
        <v>133</v>
      </c>
      <c r="N236">
        <v>11</v>
      </c>
      <c r="O236" t="str">
        <f t="shared" si="20"/>
        <v>45_25_11</v>
      </c>
      <c r="P236">
        <v>81.84</v>
      </c>
      <c r="Q236">
        <f t="shared" si="25"/>
        <v>1.41</v>
      </c>
      <c r="R236">
        <v>8376</v>
      </c>
      <c r="S236">
        <f t="shared" si="26"/>
        <v>120.4</v>
      </c>
      <c r="T236">
        <f t="shared" si="21"/>
        <v>1.4139999999999999</v>
      </c>
      <c r="U236">
        <f t="shared" si="22"/>
        <v>129.68975999999998</v>
      </c>
      <c r="V236">
        <f t="shared" si="23"/>
        <v>12461.894400000001</v>
      </c>
      <c r="W236" s="58" t="str">
        <f t="shared" si="24"/>
        <v>45° Skew Variable Width Abutment 25% Skewed Wings</v>
      </c>
    </row>
    <row r="237" spans="13:23" x14ac:dyDescent="0.25">
      <c r="M237" t="s">
        <v>133</v>
      </c>
      <c r="N237">
        <v>12</v>
      </c>
      <c r="O237" t="str">
        <f t="shared" si="20"/>
        <v>45_25_12</v>
      </c>
      <c r="P237">
        <v>85.81</v>
      </c>
      <c r="Q237">
        <f t="shared" si="25"/>
        <v>1.49</v>
      </c>
      <c r="R237">
        <v>8376</v>
      </c>
      <c r="S237">
        <f t="shared" si="26"/>
        <v>120.4</v>
      </c>
      <c r="T237">
        <f t="shared" si="21"/>
        <v>1.4139999999999999</v>
      </c>
      <c r="U237">
        <f t="shared" si="22"/>
        <v>136.37464</v>
      </c>
      <c r="V237">
        <f t="shared" si="23"/>
        <v>12461.894400000001</v>
      </c>
      <c r="W237" s="58" t="str">
        <f t="shared" si="24"/>
        <v>45° Skew Variable Width Abutment 25% Skewed Wings</v>
      </c>
    </row>
    <row r="238" spans="13:23" x14ac:dyDescent="0.25">
      <c r="M238" t="s">
        <v>133</v>
      </c>
      <c r="N238">
        <v>13</v>
      </c>
      <c r="O238" t="str">
        <f t="shared" si="20"/>
        <v>45_25_13</v>
      </c>
      <c r="P238">
        <v>105.88</v>
      </c>
      <c r="Q238">
        <f t="shared" si="25"/>
        <v>1.64</v>
      </c>
      <c r="R238">
        <v>12251</v>
      </c>
      <c r="S238">
        <f t="shared" si="26"/>
        <v>161</v>
      </c>
      <c r="T238">
        <f t="shared" si="21"/>
        <v>1.4139999999999999</v>
      </c>
      <c r="U238">
        <f t="shared" si="22"/>
        <v>161.53503999999998</v>
      </c>
      <c r="V238">
        <f t="shared" si="23"/>
        <v>17714.696</v>
      </c>
      <c r="W238" s="58" t="str">
        <f t="shared" si="24"/>
        <v>45° Skew Variable Width Abutment 25% Skewed Wings</v>
      </c>
    </row>
    <row r="239" spans="13:23" x14ac:dyDescent="0.25">
      <c r="M239" t="s">
        <v>133</v>
      </c>
      <c r="N239">
        <v>14</v>
      </c>
      <c r="O239" t="str">
        <f t="shared" si="20"/>
        <v>45_25_14</v>
      </c>
      <c r="P239">
        <v>110.37</v>
      </c>
      <c r="Q239">
        <f t="shared" si="25"/>
        <v>1.71</v>
      </c>
      <c r="R239">
        <v>12251</v>
      </c>
      <c r="S239">
        <f t="shared" si="26"/>
        <v>161</v>
      </c>
      <c r="T239">
        <f t="shared" si="21"/>
        <v>1.4139999999999999</v>
      </c>
      <c r="U239">
        <f t="shared" si="22"/>
        <v>168.40055999999998</v>
      </c>
      <c r="V239">
        <f t="shared" si="23"/>
        <v>17714.696</v>
      </c>
      <c r="W239" s="58" t="str">
        <f t="shared" si="24"/>
        <v>45° Skew Variable Width Abutment 25% Skewed Wings</v>
      </c>
    </row>
    <row r="240" spans="13:23" x14ac:dyDescent="0.25">
      <c r="M240" t="s">
        <v>133</v>
      </c>
      <c r="N240">
        <v>15</v>
      </c>
      <c r="O240" t="str">
        <f t="shared" si="20"/>
        <v>45_25_15</v>
      </c>
      <c r="P240">
        <v>134.97999999999999</v>
      </c>
      <c r="Q240">
        <f t="shared" si="25"/>
        <v>1.86</v>
      </c>
      <c r="R240">
        <v>16645</v>
      </c>
      <c r="S240">
        <f t="shared" si="26"/>
        <v>198.6</v>
      </c>
      <c r="T240">
        <f t="shared" si="21"/>
        <v>1.4139999999999999</v>
      </c>
      <c r="U240">
        <f t="shared" si="22"/>
        <v>198.10095999999999</v>
      </c>
      <c r="V240">
        <f t="shared" si="23"/>
        <v>23384.689599999998</v>
      </c>
      <c r="W240" s="58" t="str">
        <f t="shared" si="24"/>
        <v>45° Skew Variable Width Abutment 25% Skewed Wings</v>
      </c>
    </row>
    <row r="241" spans="13:23" x14ac:dyDescent="0.25">
      <c r="M241" t="s">
        <v>133</v>
      </c>
      <c r="N241">
        <v>16</v>
      </c>
      <c r="O241" t="str">
        <f t="shared" si="20"/>
        <v>45_25_16</v>
      </c>
      <c r="P241">
        <v>140.07</v>
      </c>
      <c r="Q241">
        <f t="shared" si="25"/>
        <v>1.93</v>
      </c>
      <c r="R241">
        <v>16645</v>
      </c>
      <c r="S241">
        <f t="shared" si="26"/>
        <v>198.6</v>
      </c>
      <c r="T241">
        <f t="shared" si="21"/>
        <v>1.4139999999999999</v>
      </c>
      <c r="U241">
        <f t="shared" si="22"/>
        <v>205.56647999999998</v>
      </c>
      <c r="V241">
        <f t="shared" si="23"/>
        <v>23384.689599999998</v>
      </c>
      <c r="W241" s="58" t="str">
        <f t="shared" si="24"/>
        <v>45° Skew Variable Width Abutment 25% Skewed Wings</v>
      </c>
    </row>
    <row r="242" spans="13:23" x14ac:dyDescent="0.25">
      <c r="M242" t="s">
        <v>134</v>
      </c>
      <c r="N242">
        <f>N230</f>
        <v>5</v>
      </c>
      <c r="O242" t="str">
        <f t="shared" si="20"/>
        <v>00_00_5</v>
      </c>
      <c r="P242">
        <v>24.52</v>
      </c>
      <c r="Q242">
        <f>Q230</f>
        <v>0.71</v>
      </c>
      <c r="R242">
        <v>2346</v>
      </c>
      <c r="S242">
        <f>S230</f>
        <v>52.8</v>
      </c>
      <c r="T242">
        <f t="shared" si="21"/>
        <v>1</v>
      </c>
      <c r="U242">
        <f t="shared" si="22"/>
        <v>41.56</v>
      </c>
      <c r="V242">
        <f t="shared" si="23"/>
        <v>3613.2</v>
      </c>
      <c r="W242" s="58" t="str">
        <f>CONCATENATE(LEFT(M242,2)*1,"° Skew Variable Width Abutment ","Parallel Wings")</f>
        <v>0° Skew Variable Width Abutment Parallel Wings</v>
      </c>
    </row>
    <row r="243" spans="13:23" x14ac:dyDescent="0.25">
      <c r="M243" t="s">
        <v>134</v>
      </c>
      <c r="N243">
        <f t="shared" ref="N243:N306" si="27">N231</f>
        <v>6</v>
      </c>
      <c r="O243" t="str">
        <f t="shared" si="20"/>
        <v>00_00_6</v>
      </c>
      <c r="P243">
        <v>26.6</v>
      </c>
      <c r="Q243">
        <f t="shared" ref="Q243:Q306" si="28">Q231</f>
        <v>0.78</v>
      </c>
      <c r="R243">
        <v>2346</v>
      </c>
      <c r="S243">
        <f t="shared" ref="S243:S306" si="29">S231</f>
        <v>52.8</v>
      </c>
      <c r="T243">
        <f t="shared" si="21"/>
        <v>1</v>
      </c>
      <c r="U243">
        <f t="shared" si="22"/>
        <v>45.32</v>
      </c>
      <c r="V243">
        <f t="shared" si="23"/>
        <v>3613.2</v>
      </c>
      <c r="W243" s="58" t="str">
        <f t="shared" ref="W243:W306" si="30">CONCATENATE(LEFT(M243,2)*1,"° Skew Variable Width Abutment ","Parallel Wings")</f>
        <v>0° Skew Variable Width Abutment Parallel Wings</v>
      </c>
    </row>
    <row r="244" spans="13:23" x14ac:dyDescent="0.25">
      <c r="M244" t="s">
        <v>134</v>
      </c>
      <c r="N244">
        <f t="shared" si="27"/>
        <v>7</v>
      </c>
      <c r="O244" t="str">
        <f t="shared" si="20"/>
        <v>00_00_7</v>
      </c>
      <c r="P244">
        <v>37.32</v>
      </c>
      <c r="Q244">
        <f t="shared" si="28"/>
        <v>0.93</v>
      </c>
      <c r="R244">
        <v>3489</v>
      </c>
      <c r="S244">
        <f t="shared" si="29"/>
        <v>68.7</v>
      </c>
      <c r="T244">
        <f t="shared" si="21"/>
        <v>1</v>
      </c>
      <c r="U244">
        <f t="shared" si="22"/>
        <v>59.64</v>
      </c>
      <c r="V244">
        <f t="shared" si="23"/>
        <v>5137.8</v>
      </c>
      <c r="W244" s="58" t="str">
        <f t="shared" si="30"/>
        <v>0° Skew Variable Width Abutment Parallel Wings</v>
      </c>
    </row>
    <row r="245" spans="13:23" x14ac:dyDescent="0.25">
      <c r="M245" t="s">
        <v>134</v>
      </c>
      <c r="N245">
        <f t="shared" si="27"/>
        <v>8</v>
      </c>
      <c r="O245" t="str">
        <f t="shared" si="20"/>
        <v>00_00_8</v>
      </c>
      <c r="P245">
        <v>39.840000000000003</v>
      </c>
      <c r="Q245">
        <f t="shared" si="28"/>
        <v>1.01</v>
      </c>
      <c r="R245">
        <v>3489</v>
      </c>
      <c r="S245">
        <f t="shared" si="29"/>
        <v>68.7</v>
      </c>
      <c r="T245">
        <f t="shared" si="21"/>
        <v>1</v>
      </c>
      <c r="U245">
        <f t="shared" si="22"/>
        <v>64.080000000000013</v>
      </c>
      <c r="V245">
        <f t="shared" si="23"/>
        <v>5137.8</v>
      </c>
      <c r="W245" s="58" t="str">
        <f t="shared" si="30"/>
        <v>0° Skew Variable Width Abutment Parallel Wings</v>
      </c>
    </row>
    <row r="246" spans="13:23" x14ac:dyDescent="0.25">
      <c r="M246" t="s">
        <v>134</v>
      </c>
      <c r="N246">
        <f t="shared" si="27"/>
        <v>9</v>
      </c>
      <c r="O246" t="str">
        <f t="shared" si="20"/>
        <v>00_00_9</v>
      </c>
      <c r="P246">
        <v>59.68</v>
      </c>
      <c r="Q246">
        <f t="shared" si="28"/>
        <v>1.19</v>
      </c>
      <c r="R246">
        <v>5624</v>
      </c>
      <c r="S246">
        <f t="shared" si="29"/>
        <v>91</v>
      </c>
      <c r="T246">
        <f t="shared" si="21"/>
        <v>1</v>
      </c>
      <c r="U246">
        <f t="shared" si="22"/>
        <v>88.24</v>
      </c>
      <c r="V246">
        <f t="shared" si="23"/>
        <v>7808</v>
      </c>
      <c r="W246" s="58" t="str">
        <f t="shared" si="30"/>
        <v>0° Skew Variable Width Abutment Parallel Wings</v>
      </c>
    </row>
    <row r="247" spans="13:23" x14ac:dyDescent="0.25">
      <c r="M247" t="s">
        <v>134</v>
      </c>
      <c r="N247">
        <f t="shared" si="27"/>
        <v>10</v>
      </c>
      <c r="O247" t="str">
        <f t="shared" si="20"/>
        <v>00_00_10</v>
      </c>
      <c r="P247">
        <v>62.94</v>
      </c>
      <c r="Q247">
        <f t="shared" si="28"/>
        <v>1.27</v>
      </c>
      <c r="R247">
        <v>5624</v>
      </c>
      <c r="S247">
        <f t="shared" si="29"/>
        <v>91</v>
      </c>
      <c r="T247">
        <f t="shared" si="21"/>
        <v>1</v>
      </c>
      <c r="U247">
        <f t="shared" si="22"/>
        <v>93.42</v>
      </c>
      <c r="V247">
        <f t="shared" si="23"/>
        <v>7808</v>
      </c>
      <c r="W247" s="58" t="str">
        <f t="shared" si="30"/>
        <v>0° Skew Variable Width Abutment Parallel Wings</v>
      </c>
    </row>
    <row r="248" spans="13:23" x14ac:dyDescent="0.25">
      <c r="M248" t="s">
        <v>134</v>
      </c>
      <c r="N248">
        <f t="shared" si="27"/>
        <v>11</v>
      </c>
      <c r="O248" t="str">
        <f t="shared" si="20"/>
        <v>00_00_11</v>
      </c>
      <c r="P248">
        <v>82.06</v>
      </c>
      <c r="Q248">
        <f t="shared" si="28"/>
        <v>1.41</v>
      </c>
      <c r="R248">
        <v>8428</v>
      </c>
      <c r="S248">
        <f t="shared" si="29"/>
        <v>120.4</v>
      </c>
      <c r="T248">
        <f t="shared" si="21"/>
        <v>1</v>
      </c>
      <c r="U248">
        <f t="shared" si="22"/>
        <v>115.9</v>
      </c>
      <c r="V248">
        <f t="shared" si="23"/>
        <v>11317.6</v>
      </c>
      <c r="W248" s="58" t="str">
        <f t="shared" si="30"/>
        <v>0° Skew Variable Width Abutment Parallel Wings</v>
      </c>
    </row>
    <row r="249" spans="13:23" x14ac:dyDescent="0.25">
      <c r="M249" t="s">
        <v>134</v>
      </c>
      <c r="N249">
        <f t="shared" si="27"/>
        <v>12</v>
      </c>
      <c r="O249" t="str">
        <f t="shared" si="20"/>
        <v>00_00_12</v>
      </c>
      <c r="P249">
        <v>85.92</v>
      </c>
      <c r="Q249">
        <f t="shared" si="28"/>
        <v>1.49</v>
      </c>
      <c r="R249">
        <v>8428</v>
      </c>
      <c r="S249">
        <f t="shared" si="29"/>
        <v>120.4</v>
      </c>
      <c r="T249">
        <f t="shared" si="21"/>
        <v>1</v>
      </c>
      <c r="U249">
        <f t="shared" si="22"/>
        <v>121.68</v>
      </c>
      <c r="V249">
        <f t="shared" si="23"/>
        <v>11317.6</v>
      </c>
      <c r="W249" s="58" t="str">
        <f t="shared" si="30"/>
        <v>0° Skew Variable Width Abutment Parallel Wings</v>
      </c>
    </row>
    <row r="250" spans="13:23" x14ac:dyDescent="0.25">
      <c r="M250" t="s">
        <v>134</v>
      </c>
      <c r="N250">
        <f t="shared" si="27"/>
        <v>13</v>
      </c>
      <c r="O250" t="str">
        <f t="shared" si="20"/>
        <v>00_00_13</v>
      </c>
      <c r="P250">
        <v>108.01</v>
      </c>
      <c r="Q250">
        <f t="shared" si="28"/>
        <v>1.64</v>
      </c>
      <c r="R250">
        <v>12499</v>
      </c>
      <c r="S250">
        <f t="shared" si="29"/>
        <v>161</v>
      </c>
      <c r="T250">
        <f t="shared" si="21"/>
        <v>1</v>
      </c>
      <c r="U250">
        <f t="shared" si="22"/>
        <v>147.37</v>
      </c>
      <c r="V250">
        <f t="shared" si="23"/>
        <v>16363</v>
      </c>
      <c r="W250" s="58" t="str">
        <f t="shared" si="30"/>
        <v>0° Skew Variable Width Abutment Parallel Wings</v>
      </c>
    </row>
    <row r="251" spans="13:23" x14ac:dyDescent="0.25">
      <c r="M251" t="s">
        <v>134</v>
      </c>
      <c r="N251">
        <f t="shared" si="27"/>
        <v>14</v>
      </c>
      <c r="O251" t="str">
        <f t="shared" si="20"/>
        <v>00_00_14</v>
      </c>
      <c r="P251">
        <v>112.46</v>
      </c>
      <c r="Q251">
        <f t="shared" si="28"/>
        <v>1.71</v>
      </c>
      <c r="R251">
        <v>12499</v>
      </c>
      <c r="S251">
        <f t="shared" si="29"/>
        <v>161</v>
      </c>
      <c r="T251">
        <f t="shared" si="21"/>
        <v>1</v>
      </c>
      <c r="U251">
        <f t="shared" si="22"/>
        <v>153.5</v>
      </c>
      <c r="V251">
        <f t="shared" si="23"/>
        <v>16363</v>
      </c>
      <c r="W251" s="58" t="str">
        <f t="shared" si="30"/>
        <v>0° Skew Variable Width Abutment Parallel Wings</v>
      </c>
    </row>
    <row r="252" spans="13:23" x14ac:dyDescent="0.25">
      <c r="M252" t="s">
        <v>134</v>
      </c>
      <c r="N252">
        <f t="shared" si="27"/>
        <v>15</v>
      </c>
      <c r="O252" t="str">
        <f t="shared" si="20"/>
        <v>00_00_15</v>
      </c>
      <c r="P252">
        <v>133.47999999999999</v>
      </c>
      <c r="Q252">
        <f t="shared" si="28"/>
        <v>1.86</v>
      </c>
      <c r="R252">
        <v>16606</v>
      </c>
      <c r="S252">
        <f t="shared" si="29"/>
        <v>198.6</v>
      </c>
      <c r="T252">
        <f t="shared" si="21"/>
        <v>1</v>
      </c>
      <c r="U252">
        <f t="shared" si="22"/>
        <v>178.12</v>
      </c>
      <c r="V252">
        <f t="shared" si="23"/>
        <v>21372.400000000001</v>
      </c>
      <c r="W252" s="58" t="str">
        <f t="shared" si="30"/>
        <v>0° Skew Variable Width Abutment Parallel Wings</v>
      </c>
    </row>
    <row r="253" spans="13:23" x14ac:dyDescent="0.25">
      <c r="M253" t="s">
        <v>134</v>
      </c>
      <c r="N253">
        <f t="shared" si="27"/>
        <v>16</v>
      </c>
      <c r="O253" t="str">
        <f t="shared" si="20"/>
        <v>00_00_16</v>
      </c>
      <c r="P253">
        <v>138.37</v>
      </c>
      <c r="Q253">
        <f t="shared" si="28"/>
        <v>1.93</v>
      </c>
      <c r="R253">
        <v>16606</v>
      </c>
      <c r="S253">
        <f t="shared" si="29"/>
        <v>198.6</v>
      </c>
      <c r="T253">
        <f t="shared" si="21"/>
        <v>1</v>
      </c>
      <c r="U253">
        <f t="shared" si="22"/>
        <v>184.69</v>
      </c>
      <c r="V253">
        <f t="shared" si="23"/>
        <v>21372.400000000001</v>
      </c>
      <c r="W253" s="58" t="str">
        <f t="shared" si="30"/>
        <v>0° Skew Variable Width Abutment Parallel Wings</v>
      </c>
    </row>
    <row r="254" spans="13:23" x14ac:dyDescent="0.25">
      <c r="M254" t="s">
        <v>135</v>
      </c>
      <c r="N254">
        <f t="shared" si="27"/>
        <v>5</v>
      </c>
      <c r="O254" t="str">
        <f t="shared" si="20"/>
        <v>05_00_5</v>
      </c>
      <c r="P254">
        <v>24.56</v>
      </c>
      <c r="Q254">
        <f t="shared" si="28"/>
        <v>0.71</v>
      </c>
      <c r="R254">
        <v>2339</v>
      </c>
      <c r="S254">
        <f t="shared" si="29"/>
        <v>52.8</v>
      </c>
      <c r="T254">
        <f t="shared" si="21"/>
        <v>1.004</v>
      </c>
      <c r="U254">
        <f t="shared" si="22"/>
        <v>41.66816</v>
      </c>
      <c r="V254">
        <f t="shared" si="23"/>
        <v>3611.2687999999998</v>
      </c>
      <c r="W254" s="58" t="str">
        <f t="shared" si="30"/>
        <v>5° Skew Variable Width Abutment Parallel Wings</v>
      </c>
    </row>
    <row r="255" spans="13:23" x14ac:dyDescent="0.25">
      <c r="M255" t="s">
        <v>135</v>
      </c>
      <c r="N255">
        <f t="shared" si="27"/>
        <v>6</v>
      </c>
      <c r="O255" t="str">
        <f t="shared" si="20"/>
        <v>05_00_6</v>
      </c>
      <c r="P255">
        <v>26.64</v>
      </c>
      <c r="Q255">
        <f t="shared" si="28"/>
        <v>0.78</v>
      </c>
      <c r="R255">
        <v>2339</v>
      </c>
      <c r="S255">
        <f t="shared" si="29"/>
        <v>52.8</v>
      </c>
      <c r="T255">
        <f t="shared" si="21"/>
        <v>1.004</v>
      </c>
      <c r="U255">
        <f t="shared" si="22"/>
        <v>45.43488</v>
      </c>
      <c r="V255">
        <f t="shared" si="23"/>
        <v>3611.2687999999998</v>
      </c>
      <c r="W255" s="58" t="str">
        <f t="shared" si="30"/>
        <v>5° Skew Variable Width Abutment Parallel Wings</v>
      </c>
    </row>
    <row r="256" spans="13:23" x14ac:dyDescent="0.25">
      <c r="M256" t="s">
        <v>135</v>
      </c>
      <c r="N256">
        <f t="shared" si="27"/>
        <v>7</v>
      </c>
      <c r="O256" t="str">
        <f t="shared" si="20"/>
        <v>05_00_7</v>
      </c>
      <c r="P256">
        <v>37.36</v>
      </c>
      <c r="Q256">
        <f t="shared" si="28"/>
        <v>0.93</v>
      </c>
      <c r="R256">
        <v>3482</v>
      </c>
      <c r="S256">
        <f t="shared" si="29"/>
        <v>68.7</v>
      </c>
      <c r="T256">
        <f t="shared" si="21"/>
        <v>1.004</v>
      </c>
      <c r="U256">
        <f t="shared" si="22"/>
        <v>59.769279999999995</v>
      </c>
      <c r="V256">
        <f t="shared" si="23"/>
        <v>5137.3951999999999</v>
      </c>
      <c r="W256" s="58" t="str">
        <f t="shared" si="30"/>
        <v>5° Skew Variable Width Abutment Parallel Wings</v>
      </c>
    </row>
    <row r="257" spans="13:23" x14ac:dyDescent="0.25">
      <c r="M257" t="s">
        <v>135</v>
      </c>
      <c r="N257">
        <f t="shared" si="27"/>
        <v>8</v>
      </c>
      <c r="O257" t="str">
        <f t="shared" si="20"/>
        <v>05_00_8</v>
      </c>
      <c r="P257">
        <v>39.89</v>
      </c>
      <c r="Q257">
        <f t="shared" si="28"/>
        <v>1.01</v>
      </c>
      <c r="R257">
        <v>3482</v>
      </c>
      <c r="S257">
        <f t="shared" si="29"/>
        <v>68.7</v>
      </c>
      <c r="T257">
        <f t="shared" si="21"/>
        <v>1.004</v>
      </c>
      <c r="U257">
        <f t="shared" si="22"/>
        <v>64.226960000000005</v>
      </c>
      <c r="V257">
        <f t="shared" si="23"/>
        <v>5137.3951999999999</v>
      </c>
      <c r="W257" s="58" t="str">
        <f t="shared" si="30"/>
        <v>5° Skew Variable Width Abutment Parallel Wings</v>
      </c>
    </row>
    <row r="258" spans="13:23" x14ac:dyDescent="0.25">
      <c r="M258" t="s">
        <v>135</v>
      </c>
      <c r="N258">
        <f t="shared" si="27"/>
        <v>9</v>
      </c>
      <c r="O258" t="str">
        <f t="shared" si="20"/>
        <v>05_00_9</v>
      </c>
      <c r="P258">
        <v>59.73</v>
      </c>
      <c r="Q258">
        <f t="shared" si="28"/>
        <v>1.19</v>
      </c>
      <c r="R258">
        <v>5619</v>
      </c>
      <c r="S258">
        <f t="shared" si="29"/>
        <v>91</v>
      </c>
      <c r="T258">
        <f t="shared" si="21"/>
        <v>1.004</v>
      </c>
      <c r="U258">
        <f t="shared" si="22"/>
        <v>88.404239999999987</v>
      </c>
      <c r="V258">
        <f t="shared" si="23"/>
        <v>7811.7359999999999</v>
      </c>
      <c r="W258" s="58" t="str">
        <f t="shared" si="30"/>
        <v>5° Skew Variable Width Abutment Parallel Wings</v>
      </c>
    </row>
    <row r="259" spans="13:23" x14ac:dyDescent="0.25">
      <c r="M259" t="s">
        <v>135</v>
      </c>
      <c r="N259">
        <f t="shared" si="27"/>
        <v>10</v>
      </c>
      <c r="O259" t="str">
        <f t="shared" ref="O259:O322" si="31">CONCATENATE(M259,"_",N259)</f>
        <v>05_00_10</v>
      </c>
      <c r="P259">
        <v>63</v>
      </c>
      <c r="Q259">
        <f t="shared" si="28"/>
        <v>1.27</v>
      </c>
      <c r="R259">
        <v>5619</v>
      </c>
      <c r="S259">
        <f t="shared" si="29"/>
        <v>91</v>
      </c>
      <c r="T259">
        <f t="shared" ref="T259:T322" si="32">ROUND(1/COS(RADIANS(LEFT(M259,2)*1)),3)</f>
        <v>1.004</v>
      </c>
      <c r="U259">
        <f t="shared" ref="U259:U322" si="33">P259+Q259*B$3*T259</f>
        <v>93.601920000000007</v>
      </c>
      <c r="V259">
        <f t="shared" ref="V259:V322" si="34">R259+S259*B$3*T259</f>
        <v>7811.7359999999999</v>
      </c>
      <c r="W259" s="58" t="str">
        <f t="shared" si="30"/>
        <v>5° Skew Variable Width Abutment Parallel Wings</v>
      </c>
    </row>
    <row r="260" spans="13:23" x14ac:dyDescent="0.25">
      <c r="M260" t="s">
        <v>135</v>
      </c>
      <c r="N260">
        <f t="shared" si="27"/>
        <v>11</v>
      </c>
      <c r="O260" t="str">
        <f t="shared" si="31"/>
        <v>05_00_11</v>
      </c>
      <c r="P260">
        <v>82.12</v>
      </c>
      <c r="Q260">
        <f t="shared" si="28"/>
        <v>1.41</v>
      </c>
      <c r="R260">
        <v>8421</v>
      </c>
      <c r="S260">
        <f t="shared" si="29"/>
        <v>120.4</v>
      </c>
      <c r="T260">
        <f t="shared" si="32"/>
        <v>1.004</v>
      </c>
      <c r="U260">
        <f t="shared" si="33"/>
        <v>116.09536</v>
      </c>
      <c r="V260">
        <f t="shared" si="34"/>
        <v>11322.1584</v>
      </c>
      <c r="W260" s="58" t="str">
        <f t="shared" si="30"/>
        <v>5° Skew Variable Width Abutment Parallel Wings</v>
      </c>
    </row>
    <row r="261" spans="13:23" x14ac:dyDescent="0.25">
      <c r="M261" t="s">
        <v>135</v>
      </c>
      <c r="N261">
        <f t="shared" si="27"/>
        <v>12</v>
      </c>
      <c r="O261" t="str">
        <f t="shared" si="31"/>
        <v>05_00_12</v>
      </c>
      <c r="P261">
        <v>85.99</v>
      </c>
      <c r="Q261">
        <f t="shared" si="28"/>
        <v>1.49</v>
      </c>
      <c r="R261">
        <v>8421</v>
      </c>
      <c r="S261">
        <f t="shared" si="29"/>
        <v>120.4</v>
      </c>
      <c r="T261">
        <f t="shared" si="32"/>
        <v>1.004</v>
      </c>
      <c r="U261">
        <f t="shared" si="33"/>
        <v>121.89303999999998</v>
      </c>
      <c r="V261">
        <f t="shared" si="34"/>
        <v>11322.1584</v>
      </c>
      <c r="W261" s="58" t="str">
        <f t="shared" si="30"/>
        <v>5° Skew Variable Width Abutment Parallel Wings</v>
      </c>
    </row>
    <row r="262" spans="13:23" x14ac:dyDescent="0.25">
      <c r="M262" t="s">
        <v>135</v>
      </c>
      <c r="N262">
        <f t="shared" si="27"/>
        <v>13</v>
      </c>
      <c r="O262" t="str">
        <f t="shared" si="31"/>
        <v>05_00_13</v>
      </c>
      <c r="P262">
        <v>108.08</v>
      </c>
      <c r="Q262">
        <f t="shared" si="28"/>
        <v>1.64</v>
      </c>
      <c r="R262">
        <v>12500</v>
      </c>
      <c r="S262">
        <f t="shared" si="29"/>
        <v>161</v>
      </c>
      <c r="T262">
        <f t="shared" si="32"/>
        <v>1.004</v>
      </c>
      <c r="U262">
        <f t="shared" si="33"/>
        <v>147.59744000000001</v>
      </c>
      <c r="V262">
        <f t="shared" si="34"/>
        <v>16379.456</v>
      </c>
      <c r="W262" s="58" t="str">
        <f t="shared" si="30"/>
        <v>5° Skew Variable Width Abutment Parallel Wings</v>
      </c>
    </row>
    <row r="263" spans="13:23" x14ac:dyDescent="0.25">
      <c r="M263" t="s">
        <v>135</v>
      </c>
      <c r="N263">
        <f t="shared" si="27"/>
        <v>14</v>
      </c>
      <c r="O263" t="str">
        <f t="shared" si="31"/>
        <v>05_00_14</v>
      </c>
      <c r="P263">
        <v>112.53</v>
      </c>
      <c r="Q263">
        <f t="shared" si="28"/>
        <v>1.71</v>
      </c>
      <c r="R263">
        <v>12500</v>
      </c>
      <c r="S263">
        <f t="shared" si="29"/>
        <v>161</v>
      </c>
      <c r="T263">
        <f t="shared" si="32"/>
        <v>1.004</v>
      </c>
      <c r="U263">
        <f t="shared" si="33"/>
        <v>153.73416</v>
      </c>
      <c r="V263">
        <f t="shared" si="34"/>
        <v>16379.456</v>
      </c>
      <c r="W263" s="58" t="str">
        <f t="shared" si="30"/>
        <v>5° Skew Variable Width Abutment Parallel Wings</v>
      </c>
    </row>
    <row r="264" spans="13:23" x14ac:dyDescent="0.25">
      <c r="M264" t="s">
        <v>135</v>
      </c>
      <c r="N264">
        <f t="shared" si="27"/>
        <v>15</v>
      </c>
      <c r="O264" t="str">
        <f t="shared" si="31"/>
        <v>05_00_15</v>
      </c>
      <c r="P264">
        <v>137.59</v>
      </c>
      <c r="Q264">
        <f t="shared" si="28"/>
        <v>1.86</v>
      </c>
      <c r="R264">
        <v>17030</v>
      </c>
      <c r="S264">
        <f t="shared" si="29"/>
        <v>198.6</v>
      </c>
      <c r="T264">
        <f t="shared" si="32"/>
        <v>1.004</v>
      </c>
      <c r="U264">
        <f t="shared" si="33"/>
        <v>182.40855999999999</v>
      </c>
      <c r="V264">
        <f t="shared" si="34"/>
        <v>21815.4656</v>
      </c>
      <c r="W264" s="58" t="str">
        <f t="shared" si="30"/>
        <v>5° Skew Variable Width Abutment Parallel Wings</v>
      </c>
    </row>
    <row r="265" spans="13:23" x14ac:dyDescent="0.25">
      <c r="M265" t="s">
        <v>135</v>
      </c>
      <c r="N265">
        <f t="shared" si="27"/>
        <v>16</v>
      </c>
      <c r="O265" t="str">
        <f t="shared" si="31"/>
        <v>05_00_16</v>
      </c>
      <c r="P265">
        <v>142.63</v>
      </c>
      <c r="Q265">
        <f t="shared" si="28"/>
        <v>1.93</v>
      </c>
      <c r="R265">
        <v>17030</v>
      </c>
      <c r="S265">
        <f t="shared" si="29"/>
        <v>198.6</v>
      </c>
      <c r="T265">
        <f t="shared" si="32"/>
        <v>1.004</v>
      </c>
      <c r="U265">
        <f t="shared" si="33"/>
        <v>189.13527999999999</v>
      </c>
      <c r="V265">
        <f t="shared" si="34"/>
        <v>21815.4656</v>
      </c>
      <c r="W265" s="58" t="str">
        <f t="shared" si="30"/>
        <v>5° Skew Variable Width Abutment Parallel Wings</v>
      </c>
    </row>
    <row r="266" spans="13:23" x14ac:dyDescent="0.25">
      <c r="M266" t="s">
        <v>136</v>
      </c>
      <c r="N266">
        <f t="shared" si="27"/>
        <v>5</v>
      </c>
      <c r="O266" t="str">
        <f t="shared" si="31"/>
        <v>10_00_5</v>
      </c>
      <c r="P266">
        <v>24.66</v>
      </c>
      <c r="Q266">
        <f t="shared" si="28"/>
        <v>0.71</v>
      </c>
      <c r="R266">
        <v>2345</v>
      </c>
      <c r="S266">
        <f t="shared" si="29"/>
        <v>52.8</v>
      </c>
      <c r="T266">
        <f t="shared" si="32"/>
        <v>1.0149999999999999</v>
      </c>
      <c r="U266">
        <f t="shared" si="33"/>
        <v>41.955599999999997</v>
      </c>
      <c r="V266">
        <f t="shared" si="34"/>
        <v>3631.2079999999996</v>
      </c>
      <c r="W266" s="58" t="str">
        <f t="shared" si="30"/>
        <v>10° Skew Variable Width Abutment Parallel Wings</v>
      </c>
    </row>
    <row r="267" spans="13:23" x14ac:dyDescent="0.25">
      <c r="M267" t="s">
        <v>136</v>
      </c>
      <c r="N267">
        <f t="shared" si="27"/>
        <v>6</v>
      </c>
      <c r="O267" t="str">
        <f t="shared" si="31"/>
        <v>10_00_6</v>
      </c>
      <c r="P267">
        <v>26.75</v>
      </c>
      <c r="Q267">
        <f t="shared" si="28"/>
        <v>0.78</v>
      </c>
      <c r="R267">
        <v>2345</v>
      </c>
      <c r="S267">
        <f t="shared" si="29"/>
        <v>52.8</v>
      </c>
      <c r="T267">
        <f t="shared" si="32"/>
        <v>1.0149999999999999</v>
      </c>
      <c r="U267">
        <f t="shared" si="33"/>
        <v>45.750799999999998</v>
      </c>
      <c r="V267">
        <f t="shared" si="34"/>
        <v>3631.2079999999996</v>
      </c>
      <c r="W267" s="58" t="str">
        <f t="shared" si="30"/>
        <v>10° Skew Variable Width Abutment Parallel Wings</v>
      </c>
    </row>
    <row r="268" spans="13:23" x14ac:dyDescent="0.25">
      <c r="M268" t="s">
        <v>136</v>
      </c>
      <c r="N268">
        <f t="shared" si="27"/>
        <v>7</v>
      </c>
      <c r="O268" t="str">
        <f t="shared" si="31"/>
        <v>10_00_7</v>
      </c>
      <c r="P268">
        <v>39.68</v>
      </c>
      <c r="Q268">
        <f t="shared" si="28"/>
        <v>0.93</v>
      </c>
      <c r="R268">
        <v>3655</v>
      </c>
      <c r="S268">
        <f t="shared" si="29"/>
        <v>68.7</v>
      </c>
      <c r="T268">
        <f t="shared" si="32"/>
        <v>1.0149999999999999</v>
      </c>
      <c r="U268">
        <f t="shared" si="33"/>
        <v>62.334800000000001</v>
      </c>
      <c r="V268">
        <f t="shared" si="34"/>
        <v>5328.5320000000002</v>
      </c>
      <c r="W268" s="58" t="str">
        <f t="shared" si="30"/>
        <v>10° Skew Variable Width Abutment Parallel Wings</v>
      </c>
    </row>
    <row r="269" spans="13:23" x14ac:dyDescent="0.25">
      <c r="M269" t="s">
        <v>136</v>
      </c>
      <c r="N269">
        <f t="shared" si="27"/>
        <v>8</v>
      </c>
      <c r="O269" t="str">
        <f t="shared" si="31"/>
        <v>10_00_8</v>
      </c>
      <c r="P269">
        <v>42.36</v>
      </c>
      <c r="Q269">
        <f t="shared" si="28"/>
        <v>1.01</v>
      </c>
      <c r="R269">
        <v>3655</v>
      </c>
      <c r="S269">
        <f t="shared" si="29"/>
        <v>68.7</v>
      </c>
      <c r="T269">
        <f t="shared" si="32"/>
        <v>1.0149999999999999</v>
      </c>
      <c r="U269">
        <f t="shared" si="33"/>
        <v>66.9636</v>
      </c>
      <c r="V269">
        <f t="shared" si="34"/>
        <v>5328.5320000000002</v>
      </c>
      <c r="W269" s="58" t="str">
        <f t="shared" si="30"/>
        <v>10° Skew Variable Width Abutment Parallel Wings</v>
      </c>
    </row>
    <row r="270" spans="13:23" x14ac:dyDescent="0.25">
      <c r="M270" t="s">
        <v>136</v>
      </c>
      <c r="N270">
        <f t="shared" si="27"/>
        <v>9</v>
      </c>
      <c r="O270" t="str">
        <f t="shared" si="31"/>
        <v>10_00_9</v>
      </c>
      <c r="P270">
        <v>62.59</v>
      </c>
      <c r="Q270">
        <f t="shared" si="28"/>
        <v>1.19</v>
      </c>
      <c r="R270">
        <v>5836</v>
      </c>
      <c r="S270">
        <f t="shared" si="29"/>
        <v>91</v>
      </c>
      <c r="T270">
        <f t="shared" si="32"/>
        <v>1.0149999999999999</v>
      </c>
      <c r="U270">
        <f t="shared" si="33"/>
        <v>91.578400000000002</v>
      </c>
      <c r="V270">
        <f t="shared" si="34"/>
        <v>8052.76</v>
      </c>
      <c r="W270" s="58" t="str">
        <f t="shared" si="30"/>
        <v>10° Skew Variable Width Abutment Parallel Wings</v>
      </c>
    </row>
    <row r="271" spans="13:23" x14ac:dyDescent="0.25">
      <c r="M271" t="s">
        <v>136</v>
      </c>
      <c r="N271">
        <f t="shared" si="27"/>
        <v>10</v>
      </c>
      <c r="O271" t="str">
        <f t="shared" si="31"/>
        <v>10_00_10</v>
      </c>
      <c r="P271">
        <v>66.02</v>
      </c>
      <c r="Q271">
        <f t="shared" si="28"/>
        <v>1.27</v>
      </c>
      <c r="R271">
        <v>5836</v>
      </c>
      <c r="S271">
        <f t="shared" si="29"/>
        <v>91</v>
      </c>
      <c r="T271">
        <f t="shared" si="32"/>
        <v>1.0149999999999999</v>
      </c>
      <c r="U271">
        <f t="shared" si="33"/>
        <v>96.9572</v>
      </c>
      <c r="V271">
        <f t="shared" si="34"/>
        <v>8052.76</v>
      </c>
      <c r="W271" s="58" t="str">
        <f t="shared" si="30"/>
        <v>10° Skew Variable Width Abutment Parallel Wings</v>
      </c>
    </row>
    <row r="272" spans="13:23" x14ac:dyDescent="0.25">
      <c r="M272" t="s">
        <v>136</v>
      </c>
      <c r="N272">
        <f t="shared" si="27"/>
        <v>11</v>
      </c>
      <c r="O272" t="str">
        <f t="shared" si="31"/>
        <v>10_00_11</v>
      </c>
      <c r="P272">
        <v>85.46</v>
      </c>
      <c r="Q272">
        <f t="shared" si="28"/>
        <v>1.41</v>
      </c>
      <c r="R272">
        <v>8700</v>
      </c>
      <c r="S272">
        <f t="shared" si="29"/>
        <v>120.4</v>
      </c>
      <c r="T272">
        <f t="shared" si="32"/>
        <v>1.0149999999999999</v>
      </c>
      <c r="U272">
        <f t="shared" si="33"/>
        <v>119.80759999999998</v>
      </c>
      <c r="V272">
        <f t="shared" si="34"/>
        <v>11632.944</v>
      </c>
      <c r="W272" s="58" t="str">
        <f t="shared" si="30"/>
        <v>10° Skew Variable Width Abutment Parallel Wings</v>
      </c>
    </row>
    <row r="273" spans="13:23" x14ac:dyDescent="0.25">
      <c r="M273" t="s">
        <v>136</v>
      </c>
      <c r="N273">
        <f t="shared" si="27"/>
        <v>12</v>
      </c>
      <c r="O273" t="str">
        <f t="shared" si="31"/>
        <v>10_00_12</v>
      </c>
      <c r="P273">
        <v>89.49</v>
      </c>
      <c r="Q273">
        <f t="shared" si="28"/>
        <v>1.49</v>
      </c>
      <c r="R273">
        <v>8700</v>
      </c>
      <c r="S273">
        <f t="shared" si="29"/>
        <v>120.4</v>
      </c>
      <c r="T273">
        <f t="shared" si="32"/>
        <v>1.0149999999999999</v>
      </c>
      <c r="U273">
        <f t="shared" si="33"/>
        <v>125.78639999999999</v>
      </c>
      <c r="V273">
        <f t="shared" si="34"/>
        <v>11632.944</v>
      </c>
      <c r="W273" s="58" t="str">
        <f t="shared" si="30"/>
        <v>10° Skew Variable Width Abutment Parallel Wings</v>
      </c>
    </row>
    <row r="274" spans="13:23" x14ac:dyDescent="0.25">
      <c r="M274" t="s">
        <v>136</v>
      </c>
      <c r="N274">
        <f t="shared" si="27"/>
        <v>13</v>
      </c>
      <c r="O274" t="str">
        <f t="shared" si="31"/>
        <v>10_00_13</v>
      </c>
      <c r="P274">
        <v>111.88</v>
      </c>
      <c r="Q274">
        <f t="shared" si="28"/>
        <v>1.64</v>
      </c>
      <c r="R274">
        <v>12859</v>
      </c>
      <c r="S274">
        <f t="shared" si="29"/>
        <v>161</v>
      </c>
      <c r="T274">
        <f t="shared" si="32"/>
        <v>1.0149999999999999</v>
      </c>
      <c r="U274">
        <f t="shared" si="33"/>
        <v>151.8304</v>
      </c>
      <c r="V274">
        <f t="shared" si="34"/>
        <v>16780.96</v>
      </c>
      <c r="W274" s="58" t="str">
        <f t="shared" si="30"/>
        <v>10° Skew Variable Width Abutment Parallel Wings</v>
      </c>
    </row>
    <row r="275" spans="13:23" x14ac:dyDescent="0.25">
      <c r="M275" t="s">
        <v>136</v>
      </c>
      <c r="N275">
        <f t="shared" si="27"/>
        <v>14</v>
      </c>
      <c r="O275" t="str">
        <f t="shared" si="31"/>
        <v>10_00_14</v>
      </c>
      <c r="P275">
        <v>116.49</v>
      </c>
      <c r="Q275">
        <f t="shared" si="28"/>
        <v>1.71</v>
      </c>
      <c r="R275">
        <v>12859</v>
      </c>
      <c r="S275">
        <f t="shared" si="29"/>
        <v>161</v>
      </c>
      <c r="T275">
        <f t="shared" si="32"/>
        <v>1.0149999999999999</v>
      </c>
      <c r="U275">
        <f t="shared" si="33"/>
        <v>158.1456</v>
      </c>
      <c r="V275">
        <f t="shared" si="34"/>
        <v>16780.96</v>
      </c>
      <c r="W275" s="58" t="str">
        <f t="shared" si="30"/>
        <v>10° Skew Variable Width Abutment Parallel Wings</v>
      </c>
    </row>
    <row r="276" spans="13:23" x14ac:dyDescent="0.25">
      <c r="M276" t="s">
        <v>136</v>
      </c>
      <c r="N276">
        <f t="shared" si="27"/>
        <v>15</v>
      </c>
      <c r="O276" t="str">
        <f t="shared" si="31"/>
        <v>10_00_15</v>
      </c>
      <c r="P276">
        <v>141.86000000000001</v>
      </c>
      <c r="Q276">
        <f t="shared" si="28"/>
        <v>1.86</v>
      </c>
      <c r="R276">
        <v>17469</v>
      </c>
      <c r="S276">
        <f t="shared" si="29"/>
        <v>198.6</v>
      </c>
      <c r="T276">
        <f t="shared" si="32"/>
        <v>1.0149999999999999</v>
      </c>
      <c r="U276">
        <f t="shared" si="33"/>
        <v>187.1696</v>
      </c>
      <c r="V276">
        <f t="shared" si="34"/>
        <v>22306.896000000001</v>
      </c>
      <c r="W276" s="58" t="str">
        <f t="shared" si="30"/>
        <v>10° Skew Variable Width Abutment Parallel Wings</v>
      </c>
    </row>
    <row r="277" spans="13:23" x14ac:dyDescent="0.25">
      <c r="M277" t="s">
        <v>136</v>
      </c>
      <c r="N277">
        <f t="shared" si="27"/>
        <v>16</v>
      </c>
      <c r="O277" t="str">
        <f t="shared" si="31"/>
        <v>10_00_16</v>
      </c>
      <c r="P277">
        <v>147.06</v>
      </c>
      <c r="Q277">
        <f t="shared" si="28"/>
        <v>1.93</v>
      </c>
      <c r="R277">
        <v>17459</v>
      </c>
      <c r="S277">
        <f t="shared" si="29"/>
        <v>198.6</v>
      </c>
      <c r="T277">
        <f t="shared" si="32"/>
        <v>1.0149999999999999</v>
      </c>
      <c r="U277">
        <f t="shared" si="33"/>
        <v>194.07479999999998</v>
      </c>
      <c r="V277">
        <f t="shared" si="34"/>
        <v>22296.896000000001</v>
      </c>
      <c r="W277" s="58" t="str">
        <f t="shared" si="30"/>
        <v>10° Skew Variable Width Abutment Parallel Wings</v>
      </c>
    </row>
    <row r="278" spans="13:23" x14ac:dyDescent="0.25">
      <c r="M278" t="s">
        <v>137</v>
      </c>
      <c r="N278">
        <f t="shared" si="27"/>
        <v>5</v>
      </c>
      <c r="O278" t="str">
        <f t="shared" si="31"/>
        <v>15_00_5</v>
      </c>
      <c r="P278">
        <v>26.58</v>
      </c>
      <c r="Q278">
        <f t="shared" si="28"/>
        <v>0.71</v>
      </c>
      <c r="R278">
        <v>2501</v>
      </c>
      <c r="S278">
        <f t="shared" si="29"/>
        <v>52.8</v>
      </c>
      <c r="T278">
        <f t="shared" si="32"/>
        <v>1.0349999999999999</v>
      </c>
      <c r="U278">
        <f t="shared" si="33"/>
        <v>44.216399999999993</v>
      </c>
      <c r="V278">
        <f t="shared" si="34"/>
        <v>3812.5519999999997</v>
      </c>
      <c r="W278" s="58" t="str">
        <f t="shared" si="30"/>
        <v>15° Skew Variable Width Abutment Parallel Wings</v>
      </c>
    </row>
    <row r="279" spans="13:23" x14ac:dyDescent="0.25">
      <c r="M279" t="s">
        <v>137</v>
      </c>
      <c r="N279">
        <f t="shared" si="27"/>
        <v>6</v>
      </c>
      <c r="O279" t="str">
        <f t="shared" si="31"/>
        <v>15_00_6</v>
      </c>
      <c r="P279">
        <v>28.83</v>
      </c>
      <c r="Q279">
        <f t="shared" si="28"/>
        <v>0.78</v>
      </c>
      <c r="R279">
        <v>2501</v>
      </c>
      <c r="S279">
        <f t="shared" si="29"/>
        <v>52.8</v>
      </c>
      <c r="T279">
        <f t="shared" si="32"/>
        <v>1.0349999999999999</v>
      </c>
      <c r="U279">
        <f t="shared" si="33"/>
        <v>48.205199999999991</v>
      </c>
      <c r="V279">
        <f t="shared" si="34"/>
        <v>3812.5519999999997</v>
      </c>
      <c r="W279" s="58" t="str">
        <f t="shared" si="30"/>
        <v>15° Skew Variable Width Abutment Parallel Wings</v>
      </c>
    </row>
    <row r="280" spans="13:23" x14ac:dyDescent="0.25">
      <c r="M280" t="s">
        <v>137</v>
      </c>
      <c r="N280">
        <f t="shared" si="27"/>
        <v>7</v>
      </c>
      <c r="O280" t="str">
        <f t="shared" si="31"/>
        <v>15_00_7</v>
      </c>
      <c r="P280">
        <v>39.9</v>
      </c>
      <c r="Q280">
        <f t="shared" si="28"/>
        <v>0.93</v>
      </c>
      <c r="R280">
        <v>3683</v>
      </c>
      <c r="S280">
        <f t="shared" si="29"/>
        <v>68.7</v>
      </c>
      <c r="T280">
        <f t="shared" si="32"/>
        <v>1.0349999999999999</v>
      </c>
      <c r="U280">
        <f t="shared" si="33"/>
        <v>63.001199999999997</v>
      </c>
      <c r="V280">
        <f t="shared" si="34"/>
        <v>5389.5079999999998</v>
      </c>
      <c r="W280" s="58" t="str">
        <f t="shared" si="30"/>
        <v>15° Skew Variable Width Abutment Parallel Wings</v>
      </c>
    </row>
    <row r="281" spans="13:23" x14ac:dyDescent="0.25">
      <c r="M281" t="s">
        <v>137</v>
      </c>
      <c r="N281">
        <f t="shared" si="27"/>
        <v>8</v>
      </c>
      <c r="O281" t="str">
        <f t="shared" si="31"/>
        <v>15_00_8</v>
      </c>
      <c r="P281">
        <v>42.6</v>
      </c>
      <c r="Q281">
        <f t="shared" si="28"/>
        <v>1.01</v>
      </c>
      <c r="R281">
        <v>3683</v>
      </c>
      <c r="S281">
        <f t="shared" si="29"/>
        <v>68.7</v>
      </c>
      <c r="T281">
        <f t="shared" si="32"/>
        <v>1.0349999999999999</v>
      </c>
      <c r="U281">
        <f t="shared" si="33"/>
        <v>67.688400000000001</v>
      </c>
      <c r="V281">
        <f t="shared" si="34"/>
        <v>5389.5079999999998</v>
      </c>
      <c r="W281" s="58" t="str">
        <f t="shared" si="30"/>
        <v>15° Skew Variable Width Abutment Parallel Wings</v>
      </c>
    </row>
    <row r="282" spans="13:23" x14ac:dyDescent="0.25">
      <c r="M282" t="s">
        <v>137</v>
      </c>
      <c r="N282">
        <f t="shared" si="27"/>
        <v>9</v>
      </c>
      <c r="O282" t="str">
        <f t="shared" si="31"/>
        <v>15_00_9</v>
      </c>
      <c r="P282">
        <v>62.86</v>
      </c>
      <c r="Q282">
        <f t="shared" si="28"/>
        <v>1.19</v>
      </c>
      <c r="R282">
        <v>5875</v>
      </c>
      <c r="S282">
        <f t="shared" si="29"/>
        <v>91</v>
      </c>
      <c r="T282">
        <f t="shared" si="32"/>
        <v>1.0349999999999999</v>
      </c>
      <c r="U282">
        <f t="shared" si="33"/>
        <v>92.419600000000003</v>
      </c>
      <c r="V282">
        <f t="shared" si="34"/>
        <v>8135.44</v>
      </c>
      <c r="W282" s="58" t="str">
        <f t="shared" si="30"/>
        <v>15° Skew Variable Width Abutment Parallel Wings</v>
      </c>
    </row>
    <row r="283" spans="13:23" x14ac:dyDescent="0.25">
      <c r="M283" t="s">
        <v>137</v>
      </c>
      <c r="N283">
        <f t="shared" si="27"/>
        <v>10</v>
      </c>
      <c r="O283" t="str">
        <f t="shared" si="31"/>
        <v>15_00_10</v>
      </c>
      <c r="P283">
        <v>66.3</v>
      </c>
      <c r="Q283">
        <f t="shared" si="28"/>
        <v>1.27</v>
      </c>
      <c r="R283">
        <v>5875</v>
      </c>
      <c r="S283">
        <f t="shared" si="29"/>
        <v>91</v>
      </c>
      <c r="T283">
        <f t="shared" si="32"/>
        <v>1.0349999999999999</v>
      </c>
      <c r="U283">
        <f t="shared" si="33"/>
        <v>97.846800000000002</v>
      </c>
      <c r="V283">
        <f t="shared" si="34"/>
        <v>8135.44</v>
      </c>
      <c r="W283" s="58" t="str">
        <f t="shared" si="30"/>
        <v>15° Skew Variable Width Abutment Parallel Wings</v>
      </c>
    </row>
    <row r="284" spans="13:23" x14ac:dyDescent="0.25">
      <c r="M284" t="s">
        <v>137</v>
      </c>
      <c r="N284">
        <f t="shared" si="27"/>
        <v>11</v>
      </c>
      <c r="O284" t="str">
        <f t="shared" si="31"/>
        <v>15_00_11</v>
      </c>
      <c r="P284">
        <v>85.77</v>
      </c>
      <c r="Q284">
        <f t="shared" si="28"/>
        <v>1.41</v>
      </c>
      <c r="R284">
        <v>8757</v>
      </c>
      <c r="S284">
        <f t="shared" si="29"/>
        <v>120.4</v>
      </c>
      <c r="T284">
        <f t="shared" si="32"/>
        <v>1.0349999999999999</v>
      </c>
      <c r="U284">
        <f t="shared" si="33"/>
        <v>120.7944</v>
      </c>
      <c r="V284">
        <f t="shared" si="34"/>
        <v>11747.736000000001</v>
      </c>
      <c r="W284" s="58" t="str">
        <f t="shared" si="30"/>
        <v>15° Skew Variable Width Abutment Parallel Wings</v>
      </c>
    </row>
    <row r="285" spans="13:23" x14ac:dyDescent="0.25">
      <c r="M285" t="s">
        <v>137</v>
      </c>
      <c r="N285">
        <f t="shared" si="27"/>
        <v>12</v>
      </c>
      <c r="O285" t="str">
        <f t="shared" si="31"/>
        <v>15_00_12</v>
      </c>
      <c r="P285">
        <v>89.81</v>
      </c>
      <c r="Q285">
        <f t="shared" si="28"/>
        <v>1.49</v>
      </c>
      <c r="R285">
        <v>8757</v>
      </c>
      <c r="S285">
        <f t="shared" si="29"/>
        <v>120.4</v>
      </c>
      <c r="T285">
        <f t="shared" si="32"/>
        <v>1.0349999999999999</v>
      </c>
      <c r="U285">
        <f t="shared" si="33"/>
        <v>126.82159999999999</v>
      </c>
      <c r="V285">
        <f t="shared" si="34"/>
        <v>11747.736000000001</v>
      </c>
      <c r="W285" s="58" t="str">
        <f t="shared" si="30"/>
        <v>15° Skew Variable Width Abutment Parallel Wings</v>
      </c>
    </row>
    <row r="286" spans="13:23" x14ac:dyDescent="0.25">
      <c r="M286" t="s">
        <v>137</v>
      </c>
      <c r="N286">
        <f t="shared" si="27"/>
        <v>13</v>
      </c>
      <c r="O286" t="str">
        <f t="shared" si="31"/>
        <v>15_00_13</v>
      </c>
      <c r="P286">
        <v>112.24</v>
      </c>
      <c r="Q286">
        <f t="shared" si="28"/>
        <v>1.64</v>
      </c>
      <c r="R286">
        <v>12937</v>
      </c>
      <c r="S286">
        <f t="shared" si="29"/>
        <v>161</v>
      </c>
      <c r="T286">
        <f t="shared" si="32"/>
        <v>1.0349999999999999</v>
      </c>
      <c r="U286">
        <f t="shared" si="33"/>
        <v>152.9776</v>
      </c>
      <c r="V286">
        <f t="shared" si="34"/>
        <v>16936.239999999998</v>
      </c>
      <c r="W286" s="58" t="str">
        <f t="shared" si="30"/>
        <v>15° Skew Variable Width Abutment Parallel Wings</v>
      </c>
    </row>
    <row r="287" spans="13:23" x14ac:dyDescent="0.25">
      <c r="M287" t="s">
        <v>137</v>
      </c>
      <c r="N287">
        <f t="shared" si="27"/>
        <v>14</v>
      </c>
      <c r="O287" t="str">
        <f t="shared" si="31"/>
        <v>15_00_14</v>
      </c>
      <c r="P287">
        <v>116.87</v>
      </c>
      <c r="Q287">
        <f t="shared" si="28"/>
        <v>1.71</v>
      </c>
      <c r="R287">
        <v>12937</v>
      </c>
      <c r="S287">
        <f t="shared" si="29"/>
        <v>161</v>
      </c>
      <c r="T287">
        <f t="shared" si="32"/>
        <v>1.0349999999999999</v>
      </c>
      <c r="U287">
        <f t="shared" si="33"/>
        <v>159.34640000000002</v>
      </c>
      <c r="V287">
        <f t="shared" si="34"/>
        <v>16936.239999999998</v>
      </c>
      <c r="W287" s="58" t="str">
        <f t="shared" si="30"/>
        <v>15° Skew Variable Width Abutment Parallel Wings</v>
      </c>
    </row>
    <row r="288" spans="13:23" x14ac:dyDescent="0.25">
      <c r="M288" t="s">
        <v>137</v>
      </c>
      <c r="N288">
        <f t="shared" si="27"/>
        <v>15</v>
      </c>
      <c r="O288" t="str">
        <f t="shared" si="31"/>
        <v>15_00_15</v>
      </c>
      <c r="P288">
        <v>142.27000000000001</v>
      </c>
      <c r="Q288">
        <f t="shared" si="28"/>
        <v>1.86</v>
      </c>
      <c r="R288">
        <v>17564</v>
      </c>
      <c r="S288">
        <f t="shared" si="29"/>
        <v>198.6</v>
      </c>
      <c r="T288">
        <f t="shared" si="32"/>
        <v>1.0349999999999999</v>
      </c>
      <c r="U288">
        <f t="shared" si="33"/>
        <v>188.47239999999999</v>
      </c>
      <c r="V288">
        <f t="shared" si="34"/>
        <v>22497.223999999998</v>
      </c>
      <c r="W288" s="58" t="str">
        <f t="shared" si="30"/>
        <v>15° Skew Variable Width Abutment Parallel Wings</v>
      </c>
    </row>
    <row r="289" spans="13:23" x14ac:dyDescent="0.25">
      <c r="M289" t="s">
        <v>137</v>
      </c>
      <c r="N289">
        <f t="shared" si="27"/>
        <v>16</v>
      </c>
      <c r="O289" t="str">
        <f t="shared" si="31"/>
        <v>15_00_16</v>
      </c>
      <c r="P289">
        <v>147.47999999999999</v>
      </c>
      <c r="Q289">
        <f t="shared" si="28"/>
        <v>1.93</v>
      </c>
      <c r="R289">
        <v>17564</v>
      </c>
      <c r="S289">
        <f t="shared" si="29"/>
        <v>198.6</v>
      </c>
      <c r="T289">
        <f t="shared" si="32"/>
        <v>1.0349999999999999</v>
      </c>
      <c r="U289">
        <f t="shared" si="33"/>
        <v>195.4212</v>
      </c>
      <c r="V289">
        <f t="shared" si="34"/>
        <v>22497.223999999998</v>
      </c>
      <c r="W289" s="58" t="str">
        <f t="shared" si="30"/>
        <v>15° Skew Variable Width Abutment Parallel Wings</v>
      </c>
    </row>
    <row r="290" spans="13:23" x14ac:dyDescent="0.25">
      <c r="M290" t="s">
        <v>138</v>
      </c>
      <c r="N290">
        <f t="shared" si="27"/>
        <v>5</v>
      </c>
      <c r="O290" t="str">
        <f t="shared" si="31"/>
        <v>20_00_5</v>
      </c>
      <c r="P290">
        <v>26.83</v>
      </c>
      <c r="Q290">
        <f t="shared" si="28"/>
        <v>0.71</v>
      </c>
      <c r="R290">
        <v>2525</v>
      </c>
      <c r="S290">
        <f t="shared" si="29"/>
        <v>52.8</v>
      </c>
      <c r="T290">
        <f t="shared" si="32"/>
        <v>1.0640000000000001</v>
      </c>
      <c r="U290">
        <f t="shared" si="33"/>
        <v>44.960560000000001</v>
      </c>
      <c r="V290">
        <f t="shared" si="34"/>
        <v>3873.3008</v>
      </c>
      <c r="W290" s="58" t="str">
        <f t="shared" si="30"/>
        <v>20° Skew Variable Width Abutment Parallel Wings</v>
      </c>
    </row>
    <row r="291" spans="13:23" x14ac:dyDescent="0.25">
      <c r="M291" t="s">
        <v>138</v>
      </c>
      <c r="N291">
        <f t="shared" si="27"/>
        <v>6</v>
      </c>
      <c r="O291" t="str">
        <f t="shared" si="31"/>
        <v>20_00_6</v>
      </c>
      <c r="P291">
        <v>29.11</v>
      </c>
      <c r="Q291">
        <f t="shared" si="28"/>
        <v>0.78</v>
      </c>
      <c r="R291">
        <v>2525</v>
      </c>
      <c r="S291">
        <f t="shared" si="29"/>
        <v>52.8</v>
      </c>
      <c r="T291">
        <f t="shared" si="32"/>
        <v>1.0640000000000001</v>
      </c>
      <c r="U291">
        <f t="shared" si="33"/>
        <v>49.028080000000003</v>
      </c>
      <c r="V291">
        <f t="shared" si="34"/>
        <v>3873.3008</v>
      </c>
      <c r="W291" s="58" t="str">
        <f t="shared" si="30"/>
        <v>20° Skew Variable Width Abutment Parallel Wings</v>
      </c>
    </row>
    <row r="292" spans="13:23" x14ac:dyDescent="0.25">
      <c r="M292" t="s">
        <v>138</v>
      </c>
      <c r="N292">
        <f t="shared" si="27"/>
        <v>7</v>
      </c>
      <c r="O292" t="str">
        <f t="shared" si="31"/>
        <v>20_00_7</v>
      </c>
      <c r="P292">
        <v>42.4</v>
      </c>
      <c r="Q292">
        <f t="shared" si="28"/>
        <v>0.93</v>
      </c>
      <c r="R292">
        <v>3877</v>
      </c>
      <c r="S292">
        <f t="shared" si="29"/>
        <v>68.7</v>
      </c>
      <c r="T292">
        <f t="shared" si="32"/>
        <v>1.0640000000000001</v>
      </c>
      <c r="U292">
        <f t="shared" si="33"/>
        <v>66.148480000000006</v>
      </c>
      <c r="V292">
        <f t="shared" si="34"/>
        <v>5631.3232000000007</v>
      </c>
      <c r="W292" s="58" t="str">
        <f t="shared" si="30"/>
        <v>20° Skew Variable Width Abutment Parallel Wings</v>
      </c>
    </row>
    <row r="293" spans="13:23" x14ac:dyDescent="0.25">
      <c r="M293" t="s">
        <v>138</v>
      </c>
      <c r="N293">
        <f t="shared" si="27"/>
        <v>8</v>
      </c>
      <c r="O293" t="str">
        <f t="shared" si="31"/>
        <v>20_00_8</v>
      </c>
      <c r="P293">
        <v>45.27</v>
      </c>
      <c r="Q293">
        <f t="shared" si="28"/>
        <v>1.01</v>
      </c>
      <c r="R293">
        <v>3877</v>
      </c>
      <c r="S293">
        <f t="shared" si="29"/>
        <v>68.7</v>
      </c>
      <c r="T293">
        <f t="shared" si="32"/>
        <v>1.0640000000000001</v>
      </c>
      <c r="U293">
        <f t="shared" si="33"/>
        <v>71.061360000000008</v>
      </c>
      <c r="V293">
        <f t="shared" si="34"/>
        <v>5631.3232000000007</v>
      </c>
      <c r="W293" s="58" t="str">
        <f t="shared" si="30"/>
        <v>20° Skew Variable Width Abutment Parallel Wings</v>
      </c>
    </row>
    <row r="294" spans="13:23" x14ac:dyDescent="0.25">
      <c r="M294" t="s">
        <v>138</v>
      </c>
      <c r="N294">
        <f t="shared" si="27"/>
        <v>9</v>
      </c>
      <c r="O294" t="str">
        <f t="shared" si="31"/>
        <v>20_00_9</v>
      </c>
      <c r="P294">
        <v>63.29</v>
      </c>
      <c r="Q294">
        <f t="shared" si="28"/>
        <v>1.19</v>
      </c>
      <c r="R294">
        <v>5905</v>
      </c>
      <c r="S294">
        <f t="shared" si="29"/>
        <v>91</v>
      </c>
      <c r="T294">
        <f t="shared" si="32"/>
        <v>1.0640000000000001</v>
      </c>
      <c r="U294">
        <f t="shared" si="33"/>
        <v>93.677840000000003</v>
      </c>
      <c r="V294">
        <f t="shared" si="34"/>
        <v>8228.7759999999998</v>
      </c>
      <c r="W294" s="58" t="str">
        <f t="shared" si="30"/>
        <v>20° Skew Variable Width Abutment Parallel Wings</v>
      </c>
    </row>
    <row r="295" spans="13:23" x14ac:dyDescent="0.25">
      <c r="M295" t="s">
        <v>138</v>
      </c>
      <c r="N295">
        <f t="shared" si="27"/>
        <v>10</v>
      </c>
      <c r="O295" t="str">
        <f t="shared" si="31"/>
        <v>20_00_10</v>
      </c>
      <c r="P295">
        <v>66.72</v>
      </c>
      <c r="Q295">
        <f t="shared" si="28"/>
        <v>1.27</v>
      </c>
      <c r="R295">
        <v>5905</v>
      </c>
      <c r="S295">
        <f t="shared" si="29"/>
        <v>91</v>
      </c>
      <c r="T295">
        <f t="shared" si="32"/>
        <v>1.0640000000000001</v>
      </c>
      <c r="U295">
        <f t="shared" si="33"/>
        <v>99.150720000000007</v>
      </c>
      <c r="V295">
        <f t="shared" si="34"/>
        <v>8228.7759999999998</v>
      </c>
      <c r="W295" s="58" t="str">
        <f t="shared" si="30"/>
        <v>20° Skew Variable Width Abutment Parallel Wings</v>
      </c>
    </row>
    <row r="296" spans="13:23" x14ac:dyDescent="0.25">
      <c r="M296" t="s">
        <v>138</v>
      </c>
      <c r="N296">
        <f t="shared" si="27"/>
        <v>11</v>
      </c>
      <c r="O296" t="str">
        <f t="shared" si="31"/>
        <v>20_00_11</v>
      </c>
      <c r="P296">
        <v>89.38</v>
      </c>
      <c r="Q296">
        <f t="shared" si="28"/>
        <v>1.41</v>
      </c>
      <c r="R296">
        <v>9102</v>
      </c>
      <c r="S296">
        <f t="shared" si="29"/>
        <v>120.4</v>
      </c>
      <c r="T296">
        <f t="shared" si="32"/>
        <v>1.0640000000000001</v>
      </c>
      <c r="U296">
        <f t="shared" si="33"/>
        <v>125.38575999999999</v>
      </c>
      <c r="V296">
        <f t="shared" si="34"/>
        <v>12176.5344</v>
      </c>
      <c r="W296" s="58" t="str">
        <f t="shared" si="30"/>
        <v>20° Skew Variable Width Abutment Parallel Wings</v>
      </c>
    </row>
    <row r="297" spans="13:23" x14ac:dyDescent="0.25">
      <c r="M297" t="s">
        <v>138</v>
      </c>
      <c r="N297">
        <f t="shared" si="27"/>
        <v>12</v>
      </c>
      <c r="O297" t="str">
        <f t="shared" si="31"/>
        <v>20_00_12</v>
      </c>
      <c r="P297">
        <v>93.59</v>
      </c>
      <c r="Q297">
        <f t="shared" si="28"/>
        <v>1.49</v>
      </c>
      <c r="R297">
        <v>9102</v>
      </c>
      <c r="S297">
        <f t="shared" si="29"/>
        <v>120.4</v>
      </c>
      <c r="T297">
        <f t="shared" si="32"/>
        <v>1.0640000000000001</v>
      </c>
      <c r="U297">
        <f t="shared" si="33"/>
        <v>131.63864000000001</v>
      </c>
      <c r="V297">
        <f t="shared" si="34"/>
        <v>12176.5344</v>
      </c>
      <c r="W297" s="58" t="str">
        <f t="shared" si="30"/>
        <v>20° Skew Variable Width Abutment Parallel Wings</v>
      </c>
    </row>
    <row r="298" spans="13:23" x14ac:dyDescent="0.25">
      <c r="M298" t="s">
        <v>138</v>
      </c>
      <c r="N298">
        <f t="shared" si="27"/>
        <v>13</v>
      </c>
      <c r="O298" t="str">
        <f t="shared" si="31"/>
        <v>20_00_13</v>
      </c>
      <c r="P298">
        <v>116.36</v>
      </c>
      <c r="Q298">
        <f t="shared" si="28"/>
        <v>1.64</v>
      </c>
      <c r="R298">
        <v>13384</v>
      </c>
      <c r="S298">
        <f t="shared" si="29"/>
        <v>161</v>
      </c>
      <c r="T298">
        <f t="shared" si="32"/>
        <v>1.0640000000000001</v>
      </c>
      <c r="U298">
        <f t="shared" si="33"/>
        <v>158.23903999999999</v>
      </c>
      <c r="V298">
        <f t="shared" si="34"/>
        <v>17495.296000000002</v>
      </c>
      <c r="W298" s="58" t="str">
        <f t="shared" si="30"/>
        <v>20° Skew Variable Width Abutment Parallel Wings</v>
      </c>
    </row>
    <row r="299" spans="13:23" x14ac:dyDescent="0.25">
      <c r="M299" t="s">
        <v>138</v>
      </c>
      <c r="N299">
        <f t="shared" si="27"/>
        <v>14</v>
      </c>
      <c r="O299" t="str">
        <f t="shared" si="31"/>
        <v>20_00_14</v>
      </c>
      <c r="P299">
        <v>121.16</v>
      </c>
      <c r="Q299">
        <f t="shared" si="28"/>
        <v>1.71</v>
      </c>
      <c r="R299">
        <v>13384</v>
      </c>
      <c r="S299">
        <f t="shared" si="29"/>
        <v>161</v>
      </c>
      <c r="T299">
        <f t="shared" si="32"/>
        <v>1.0640000000000001</v>
      </c>
      <c r="U299">
        <f t="shared" si="33"/>
        <v>164.82656</v>
      </c>
      <c r="V299">
        <f t="shared" si="34"/>
        <v>17495.296000000002</v>
      </c>
      <c r="W299" s="58" t="str">
        <f t="shared" si="30"/>
        <v>20° Skew Variable Width Abutment Parallel Wings</v>
      </c>
    </row>
    <row r="300" spans="13:23" x14ac:dyDescent="0.25">
      <c r="M300" t="s">
        <v>138</v>
      </c>
      <c r="N300">
        <f t="shared" si="27"/>
        <v>15</v>
      </c>
      <c r="O300" t="str">
        <f t="shared" si="31"/>
        <v>20_00_15</v>
      </c>
      <c r="P300">
        <v>146.88999999999999</v>
      </c>
      <c r="Q300">
        <f t="shared" si="28"/>
        <v>1.86</v>
      </c>
      <c r="R300">
        <v>18106</v>
      </c>
      <c r="S300">
        <f t="shared" si="29"/>
        <v>198.6</v>
      </c>
      <c r="T300">
        <f t="shared" si="32"/>
        <v>1.0640000000000001</v>
      </c>
      <c r="U300">
        <f t="shared" si="33"/>
        <v>194.38695999999999</v>
      </c>
      <c r="V300">
        <f t="shared" si="34"/>
        <v>23177.4496</v>
      </c>
      <c r="W300" s="58" t="str">
        <f t="shared" si="30"/>
        <v>20° Skew Variable Width Abutment Parallel Wings</v>
      </c>
    </row>
    <row r="301" spans="13:23" x14ac:dyDescent="0.25">
      <c r="M301" t="s">
        <v>138</v>
      </c>
      <c r="N301">
        <f t="shared" si="27"/>
        <v>16</v>
      </c>
      <c r="O301" t="str">
        <f t="shared" si="31"/>
        <v>20_00_16</v>
      </c>
      <c r="P301">
        <v>152.28</v>
      </c>
      <c r="Q301">
        <f t="shared" si="28"/>
        <v>1.93</v>
      </c>
      <c r="R301">
        <v>18106</v>
      </c>
      <c r="S301">
        <f t="shared" si="29"/>
        <v>198.6</v>
      </c>
      <c r="T301">
        <f t="shared" si="32"/>
        <v>1.0640000000000001</v>
      </c>
      <c r="U301">
        <f t="shared" si="33"/>
        <v>201.56448</v>
      </c>
      <c r="V301">
        <f t="shared" si="34"/>
        <v>23177.4496</v>
      </c>
      <c r="W301" s="58" t="str">
        <f t="shared" si="30"/>
        <v>20° Skew Variable Width Abutment Parallel Wings</v>
      </c>
    </row>
    <row r="302" spans="13:23" x14ac:dyDescent="0.25">
      <c r="M302" t="s">
        <v>139</v>
      </c>
      <c r="N302">
        <f t="shared" si="27"/>
        <v>5</v>
      </c>
      <c r="O302" t="str">
        <f t="shared" si="31"/>
        <v>25_00_5</v>
      </c>
      <c r="P302">
        <v>28.92</v>
      </c>
      <c r="Q302">
        <f t="shared" si="28"/>
        <v>0.71</v>
      </c>
      <c r="R302">
        <v>2717</v>
      </c>
      <c r="S302">
        <f t="shared" si="29"/>
        <v>52.8</v>
      </c>
      <c r="T302">
        <f t="shared" si="32"/>
        <v>1.103</v>
      </c>
      <c r="U302">
        <f t="shared" si="33"/>
        <v>47.715119999999999</v>
      </c>
      <c r="V302">
        <f t="shared" si="34"/>
        <v>4114.7215999999999</v>
      </c>
      <c r="W302" s="58" t="str">
        <f t="shared" si="30"/>
        <v>25° Skew Variable Width Abutment Parallel Wings</v>
      </c>
    </row>
    <row r="303" spans="13:23" x14ac:dyDescent="0.25">
      <c r="M303" t="s">
        <v>139</v>
      </c>
      <c r="N303">
        <f t="shared" si="27"/>
        <v>6</v>
      </c>
      <c r="O303" t="str">
        <f t="shared" si="31"/>
        <v>25_00_6</v>
      </c>
      <c r="P303">
        <v>31.37</v>
      </c>
      <c r="Q303">
        <f t="shared" si="28"/>
        <v>0.78</v>
      </c>
      <c r="R303">
        <v>2717</v>
      </c>
      <c r="S303">
        <f t="shared" si="29"/>
        <v>52.8</v>
      </c>
      <c r="T303">
        <f t="shared" si="32"/>
        <v>1.103</v>
      </c>
      <c r="U303">
        <f t="shared" si="33"/>
        <v>52.018159999999995</v>
      </c>
      <c r="V303">
        <f t="shared" si="34"/>
        <v>4114.7215999999999</v>
      </c>
      <c r="W303" s="58" t="str">
        <f t="shared" si="30"/>
        <v>25° Skew Variable Width Abutment Parallel Wings</v>
      </c>
    </row>
    <row r="304" spans="13:23" x14ac:dyDescent="0.25">
      <c r="M304" t="s">
        <v>139</v>
      </c>
      <c r="N304">
        <f t="shared" si="27"/>
        <v>7</v>
      </c>
      <c r="O304" t="str">
        <f t="shared" si="31"/>
        <v>25_00_7</v>
      </c>
      <c r="P304">
        <v>45.02</v>
      </c>
      <c r="Q304">
        <f t="shared" si="28"/>
        <v>0.93</v>
      </c>
      <c r="R304">
        <v>4118</v>
      </c>
      <c r="S304">
        <f t="shared" si="29"/>
        <v>68.7</v>
      </c>
      <c r="T304">
        <f t="shared" si="32"/>
        <v>1.103</v>
      </c>
      <c r="U304">
        <f t="shared" si="33"/>
        <v>69.638959999999997</v>
      </c>
      <c r="V304">
        <f t="shared" si="34"/>
        <v>5936.6264000000001</v>
      </c>
      <c r="W304" s="58" t="str">
        <f t="shared" si="30"/>
        <v>25° Skew Variable Width Abutment Parallel Wings</v>
      </c>
    </row>
    <row r="305" spans="13:23" x14ac:dyDescent="0.25">
      <c r="M305" t="s">
        <v>139</v>
      </c>
      <c r="N305">
        <f t="shared" si="27"/>
        <v>8</v>
      </c>
      <c r="O305" t="str">
        <f t="shared" si="31"/>
        <v>25_00_8</v>
      </c>
      <c r="P305">
        <v>48.07</v>
      </c>
      <c r="Q305">
        <f t="shared" si="28"/>
        <v>1.01</v>
      </c>
      <c r="R305">
        <v>4118</v>
      </c>
      <c r="S305">
        <f t="shared" si="29"/>
        <v>68.7</v>
      </c>
      <c r="T305">
        <f t="shared" si="32"/>
        <v>1.103</v>
      </c>
      <c r="U305">
        <f t="shared" si="33"/>
        <v>74.806719999999999</v>
      </c>
      <c r="V305">
        <f t="shared" si="34"/>
        <v>5936.6264000000001</v>
      </c>
      <c r="W305" s="58" t="str">
        <f t="shared" si="30"/>
        <v>25° Skew Variable Width Abutment Parallel Wings</v>
      </c>
    </row>
    <row r="306" spans="13:23" x14ac:dyDescent="0.25">
      <c r="M306" t="s">
        <v>139</v>
      </c>
      <c r="N306">
        <f t="shared" si="27"/>
        <v>9</v>
      </c>
      <c r="O306" t="str">
        <f t="shared" si="31"/>
        <v>25_00_9</v>
      </c>
      <c r="P306">
        <v>66.5</v>
      </c>
      <c r="Q306">
        <f t="shared" si="28"/>
        <v>1.19</v>
      </c>
      <c r="R306">
        <v>6216</v>
      </c>
      <c r="S306">
        <f t="shared" si="29"/>
        <v>91</v>
      </c>
      <c r="T306">
        <f t="shared" si="32"/>
        <v>1.103</v>
      </c>
      <c r="U306">
        <f t="shared" si="33"/>
        <v>98.001679999999993</v>
      </c>
      <c r="V306">
        <f t="shared" si="34"/>
        <v>8624.9519999999993</v>
      </c>
      <c r="W306" s="58" t="str">
        <f t="shared" si="30"/>
        <v>25° Skew Variable Width Abutment Parallel Wings</v>
      </c>
    </row>
    <row r="307" spans="13:23" x14ac:dyDescent="0.25">
      <c r="M307" t="s">
        <v>139</v>
      </c>
      <c r="N307">
        <f t="shared" ref="N307:N361" si="35">N295</f>
        <v>10</v>
      </c>
      <c r="O307" t="str">
        <f t="shared" si="31"/>
        <v>25_00_10</v>
      </c>
      <c r="P307">
        <v>70.14</v>
      </c>
      <c r="Q307">
        <f t="shared" ref="Q307:Q361" si="36">Q295</f>
        <v>1.27</v>
      </c>
      <c r="R307">
        <v>6216</v>
      </c>
      <c r="S307">
        <f t="shared" ref="S307:S361" si="37">S295</f>
        <v>91</v>
      </c>
      <c r="T307">
        <f t="shared" si="32"/>
        <v>1.103</v>
      </c>
      <c r="U307">
        <f t="shared" si="33"/>
        <v>103.75944</v>
      </c>
      <c r="V307">
        <f t="shared" si="34"/>
        <v>8624.9519999999993</v>
      </c>
      <c r="W307" s="58" t="str">
        <f t="shared" ref="W307:W361" si="38">CONCATENATE(LEFT(M307,2)*1,"° Skew Variable Width Abutment ","Parallel Wings")</f>
        <v>25° Skew Variable Width Abutment Parallel Wings</v>
      </c>
    </row>
    <row r="308" spans="13:23" x14ac:dyDescent="0.25">
      <c r="M308" t="s">
        <v>139</v>
      </c>
      <c r="N308">
        <f t="shared" si="35"/>
        <v>11</v>
      </c>
      <c r="O308" t="str">
        <f t="shared" si="31"/>
        <v>25_00_11</v>
      </c>
      <c r="P308">
        <v>93.16</v>
      </c>
      <c r="Q308">
        <f t="shared" si="36"/>
        <v>1.41</v>
      </c>
      <c r="R308">
        <v>9465</v>
      </c>
      <c r="S308">
        <f t="shared" si="37"/>
        <v>120.4</v>
      </c>
      <c r="T308">
        <f t="shared" si="32"/>
        <v>1.103</v>
      </c>
      <c r="U308">
        <f t="shared" si="33"/>
        <v>130.48552000000001</v>
      </c>
      <c r="V308">
        <f t="shared" si="34"/>
        <v>12652.228800000001</v>
      </c>
      <c r="W308" s="58" t="str">
        <f t="shared" si="38"/>
        <v>25° Skew Variable Width Abutment Parallel Wings</v>
      </c>
    </row>
    <row r="309" spans="13:23" x14ac:dyDescent="0.25">
      <c r="M309" t="s">
        <v>139</v>
      </c>
      <c r="N309">
        <f t="shared" si="35"/>
        <v>12</v>
      </c>
      <c r="O309" t="str">
        <f t="shared" si="31"/>
        <v>25_00_12</v>
      </c>
      <c r="P309">
        <v>97.54</v>
      </c>
      <c r="Q309">
        <f t="shared" si="36"/>
        <v>1.49</v>
      </c>
      <c r="R309">
        <v>9465</v>
      </c>
      <c r="S309">
        <f t="shared" si="37"/>
        <v>120.4</v>
      </c>
      <c r="T309">
        <f t="shared" si="32"/>
        <v>1.103</v>
      </c>
      <c r="U309">
        <f t="shared" si="33"/>
        <v>136.98328000000001</v>
      </c>
      <c r="V309">
        <f t="shared" si="34"/>
        <v>12652.228800000001</v>
      </c>
      <c r="W309" s="58" t="str">
        <f t="shared" si="38"/>
        <v>25° Skew Variable Width Abutment Parallel Wings</v>
      </c>
    </row>
    <row r="310" spans="13:23" x14ac:dyDescent="0.25">
      <c r="M310" t="s">
        <v>139</v>
      </c>
      <c r="N310">
        <f t="shared" si="35"/>
        <v>13</v>
      </c>
      <c r="O310" t="str">
        <f t="shared" si="31"/>
        <v>25_00_13</v>
      </c>
      <c r="P310">
        <v>120.67</v>
      </c>
      <c r="Q310">
        <f t="shared" si="36"/>
        <v>1.64</v>
      </c>
      <c r="R310">
        <v>13914</v>
      </c>
      <c r="S310">
        <f t="shared" si="37"/>
        <v>161</v>
      </c>
      <c r="T310">
        <f t="shared" si="32"/>
        <v>1.103</v>
      </c>
      <c r="U310">
        <f t="shared" si="33"/>
        <v>164.08408</v>
      </c>
      <c r="V310">
        <f t="shared" si="34"/>
        <v>18175.991999999998</v>
      </c>
      <c r="W310" s="58" t="str">
        <f t="shared" si="38"/>
        <v>25° Skew Variable Width Abutment Parallel Wings</v>
      </c>
    </row>
    <row r="311" spans="13:23" x14ac:dyDescent="0.25">
      <c r="M311" t="s">
        <v>139</v>
      </c>
      <c r="N311">
        <f t="shared" si="35"/>
        <v>14</v>
      </c>
      <c r="O311" t="str">
        <f t="shared" si="31"/>
        <v>25_00_14</v>
      </c>
      <c r="P311">
        <v>125.64</v>
      </c>
      <c r="Q311">
        <f t="shared" si="36"/>
        <v>1.71</v>
      </c>
      <c r="R311">
        <v>13914</v>
      </c>
      <c r="S311">
        <f t="shared" si="37"/>
        <v>161</v>
      </c>
      <c r="T311">
        <f t="shared" si="32"/>
        <v>1.103</v>
      </c>
      <c r="U311">
        <f t="shared" si="33"/>
        <v>170.90711999999999</v>
      </c>
      <c r="V311">
        <f t="shared" si="34"/>
        <v>18175.991999999998</v>
      </c>
      <c r="W311" s="58" t="str">
        <f t="shared" si="38"/>
        <v>25° Skew Variable Width Abutment Parallel Wings</v>
      </c>
    </row>
    <row r="312" spans="13:23" x14ac:dyDescent="0.25">
      <c r="M312" t="s">
        <v>139</v>
      </c>
      <c r="N312">
        <f t="shared" si="35"/>
        <v>15</v>
      </c>
      <c r="O312" t="str">
        <f t="shared" si="31"/>
        <v>25_00_15</v>
      </c>
      <c r="P312">
        <v>151.72999999999999</v>
      </c>
      <c r="Q312">
        <f t="shared" si="36"/>
        <v>1.86</v>
      </c>
      <c r="R312">
        <v>18748</v>
      </c>
      <c r="S312">
        <f t="shared" si="37"/>
        <v>198.6</v>
      </c>
      <c r="T312">
        <f t="shared" si="32"/>
        <v>1.103</v>
      </c>
      <c r="U312">
        <f t="shared" si="33"/>
        <v>200.96791999999999</v>
      </c>
      <c r="V312">
        <f t="shared" si="34"/>
        <v>24005.339199999999</v>
      </c>
      <c r="W312" s="58" t="str">
        <f t="shared" si="38"/>
        <v>25° Skew Variable Width Abutment Parallel Wings</v>
      </c>
    </row>
    <row r="313" spans="13:23" x14ac:dyDescent="0.25">
      <c r="M313" t="s">
        <v>139</v>
      </c>
      <c r="N313">
        <f t="shared" si="35"/>
        <v>16</v>
      </c>
      <c r="O313" t="str">
        <f t="shared" si="31"/>
        <v>25_00_16</v>
      </c>
      <c r="P313">
        <v>157.30000000000001</v>
      </c>
      <c r="Q313">
        <f t="shared" si="36"/>
        <v>1.93</v>
      </c>
      <c r="R313">
        <v>18748</v>
      </c>
      <c r="S313">
        <f t="shared" si="37"/>
        <v>198.6</v>
      </c>
      <c r="T313">
        <f t="shared" si="32"/>
        <v>1.103</v>
      </c>
      <c r="U313">
        <f t="shared" si="33"/>
        <v>208.39096000000001</v>
      </c>
      <c r="V313">
        <f t="shared" si="34"/>
        <v>24005.339199999999</v>
      </c>
      <c r="W313" s="58" t="str">
        <f t="shared" si="38"/>
        <v>25° Skew Variable Width Abutment Parallel Wings</v>
      </c>
    </row>
    <row r="314" spans="13:23" x14ac:dyDescent="0.25">
      <c r="M314" t="s">
        <v>140</v>
      </c>
      <c r="N314">
        <f t="shared" si="35"/>
        <v>5</v>
      </c>
      <c r="O314" t="str">
        <f t="shared" si="31"/>
        <v>30_00_5</v>
      </c>
      <c r="P314">
        <v>29.38</v>
      </c>
      <c r="Q314">
        <f t="shared" si="36"/>
        <v>0.71</v>
      </c>
      <c r="R314">
        <v>2774</v>
      </c>
      <c r="S314">
        <f t="shared" si="37"/>
        <v>52.8</v>
      </c>
      <c r="T314">
        <f t="shared" si="32"/>
        <v>1.155</v>
      </c>
      <c r="U314">
        <f t="shared" si="33"/>
        <v>49.061199999999999</v>
      </c>
      <c r="V314">
        <f t="shared" si="34"/>
        <v>4237.616</v>
      </c>
      <c r="W314" s="58" t="str">
        <f t="shared" si="38"/>
        <v>30° Skew Variable Width Abutment Parallel Wings</v>
      </c>
    </row>
    <row r="315" spans="13:23" x14ac:dyDescent="0.25">
      <c r="M315" t="s">
        <v>140</v>
      </c>
      <c r="N315">
        <f t="shared" si="35"/>
        <v>6</v>
      </c>
      <c r="O315" t="str">
        <f t="shared" si="31"/>
        <v>30_00_6</v>
      </c>
      <c r="P315">
        <v>31.87</v>
      </c>
      <c r="Q315">
        <f t="shared" si="36"/>
        <v>0.78</v>
      </c>
      <c r="R315">
        <v>2774</v>
      </c>
      <c r="S315">
        <f t="shared" si="37"/>
        <v>52.8</v>
      </c>
      <c r="T315">
        <f t="shared" si="32"/>
        <v>1.155</v>
      </c>
      <c r="U315">
        <f t="shared" si="33"/>
        <v>53.491600000000005</v>
      </c>
      <c r="V315">
        <f t="shared" si="34"/>
        <v>4237.616</v>
      </c>
      <c r="W315" s="58" t="str">
        <f t="shared" si="38"/>
        <v>30° Skew Variable Width Abutment Parallel Wings</v>
      </c>
    </row>
    <row r="316" spans="13:23" x14ac:dyDescent="0.25">
      <c r="M316" t="s">
        <v>140</v>
      </c>
      <c r="N316">
        <f t="shared" si="35"/>
        <v>7</v>
      </c>
      <c r="O316" t="str">
        <f t="shared" si="31"/>
        <v>30_00_7</v>
      </c>
      <c r="P316">
        <v>47.78</v>
      </c>
      <c r="Q316">
        <f t="shared" si="36"/>
        <v>0.93</v>
      </c>
      <c r="R316">
        <v>4359</v>
      </c>
      <c r="S316">
        <f t="shared" si="37"/>
        <v>68.7</v>
      </c>
      <c r="T316">
        <f t="shared" si="32"/>
        <v>1.155</v>
      </c>
      <c r="U316">
        <f t="shared" si="33"/>
        <v>73.559600000000003</v>
      </c>
      <c r="V316">
        <f t="shared" si="34"/>
        <v>6263.3640000000005</v>
      </c>
      <c r="W316" s="58" t="str">
        <f t="shared" si="38"/>
        <v>30° Skew Variable Width Abutment Parallel Wings</v>
      </c>
    </row>
    <row r="317" spans="13:23" x14ac:dyDescent="0.25">
      <c r="M317" t="s">
        <v>140</v>
      </c>
      <c r="N317">
        <f t="shared" si="35"/>
        <v>8</v>
      </c>
      <c r="O317" t="str">
        <f t="shared" si="31"/>
        <v>30_00_8</v>
      </c>
      <c r="P317">
        <v>51.01</v>
      </c>
      <c r="Q317">
        <f t="shared" si="36"/>
        <v>1.01</v>
      </c>
      <c r="R317">
        <v>4359</v>
      </c>
      <c r="S317">
        <f t="shared" si="37"/>
        <v>68.7</v>
      </c>
      <c r="T317">
        <f t="shared" si="32"/>
        <v>1.155</v>
      </c>
      <c r="U317">
        <f t="shared" si="33"/>
        <v>79.007199999999997</v>
      </c>
      <c r="V317">
        <f t="shared" si="34"/>
        <v>6263.3640000000005</v>
      </c>
      <c r="W317" s="58" t="str">
        <f t="shared" si="38"/>
        <v>30° Skew Variable Width Abutment Parallel Wings</v>
      </c>
    </row>
    <row r="318" spans="13:23" x14ac:dyDescent="0.25">
      <c r="M318" t="s">
        <v>140</v>
      </c>
      <c r="N318">
        <f t="shared" si="35"/>
        <v>9</v>
      </c>
      <c r="O318" t="str">
        <f t="shared" si="31"/>
        <v>30_00_9</v>
      </c>
      <c r="P318">
        <v>59.91</v>
      </c>
      <c r="Q318">
        <f t="shared" si="36"/>
        <v>1.19</v>
      </c>
      <c r="R318">
        <v>6526</v>
      </c>
      <c r="S318">
        <f t="shared" si="37"/>
        <v>91</v>
      </c>
      <c r="T318">
        <f t="shared" si="32"/>
        <v>1.155</v>
      </c>
      <c r="U318">
        <f t="shared" si="33"/>
        <v>92.896799999999999</v>
      </c>
      <c r="V318">
        <f t="shared" si="34"/>
        <v>9048.52</v>
      </c>
      <c r="W318" s="58" t="str">
        <f t="shared" si="38"/>
        <v>30° Skew Variable Width Abutment Parallel Wings</v>
      </c>
    </row>
    <row r="319" spans="13:23" x14ac:dyDescent="0.25">
      <c r="M319" t="s">
        <v>140</v>
      </c>
      <c r="N319">
        <f t="shared" si="35"/>
        <v>10</v>
      </c>
      <c r="O319" t="str">
        <f t="shared" si="31"/>
        <v>30_00_10</v>
      </c>
      <c r="P319">
        <v>73.73</v>
      </c>
      <c r="Q319">
        <f t="shared" si="36"/>
        <v>1.27</v>
      </c>
      <c r="R319">
        <v>6526</v>
      </c>
      <c r="S319">
        <f t="shared" si="37"/>
        <v>91</v>
      </c>
      <c r="T319">
        <f t="shared" si="32"/>
        <v>1.155</v>
      </c>
      <c r="U319">
        <f t="shared" si="33"/>
        <v>108.93440000000001</v>
      </c>
      <c r="V319">
        <f t="shared" si="34"/>
        <v>9048.52</v>
      </c>
      <c r="W319" s="58" t="str">
        <f t="shared" si="38"/>
        <v>30° Skew Variable Width Abutment Parallel Wings</v>
      </c>
    </row>
    <row r="320" spans="13:23" x14ac:dyDescent="0.25">
      <c r="M320" t="s">
        <v>140</v>
      </c>
      <c r="N320">
        <f t="shared" si="35"/>
        <v>11</v>
      </c>
      <c r="O320" t="str">
        <f t="shared" si="31"/>
        <v>30_00_11</v>
      </c>
      <c r="P320">
        <v>97.12</v>
      </c>
      <c r="Q320">
        <f t="shared" si="36"/>
        <v>1.41</v>
      </c>
      <c r="R320">
        <v>9903</v>
      </c>
      <c r="S320">
        <f t="shared" si="37"/>
        <v>120.4</v>
      </c>
      <c r="T320">
        <f t="shared" si="32"/>
        <v>1.155</v>
      </c>
      <c r="U320">
        <f t="shared" si="33"/>
        <v>136.20519999999999</v>
      </c>
      <c r="V320">
        <f t="shared" si="34"/>
        <v>13240.488000000001</v>
      </c>
      <c r="W320" s="58" t="str">
        <f t="shared" si="38"/>
        <v>30° Skew Variable Width Abutment Parallel Wings</v>
      </c>
    </row>
    <row r="321" spans="13:23" x14ac:dyDescent="0.25">
      <c r="M321" t="s">
        <v>140</v>
      </c>
      <c r="N321">
        <f t="shared" si="35"/>
        <v>12</v>
      </c>
      <c r="O321" t="str">
        <f t="shared" si="31"/>
        <v>30_00_12</v>
      </c>
      <c r="P321">
        <v>101.69</v>
      </c>
      <c r="Q321">
        <f t="shared" si="36"/>
        <v>1.49</v>
      </c>
      <c r="R321">
        <v>9903</v>
      </c>
      <c r="S321">
        <f t="shared" si="37"/>
        <v>120.4</v>
      </c>
      <c r="T321">
        <f t="shared" si="32"/>
        <v>1.155</v>
      </c>
      <c r="U321">
        <f t="shared" si="33"/>
        <v>142.99279999999999</v>
      </c>
      <c r="V321">
        <f t="shared" si="34"/>
        <v>13240.488000000001</v>
      </c>
      <c r="W321" s="58" t="str">
        <f t="shared" si="38"/>
        <v>30° Skew Variable Width Abutment Parallel Wings</v>
      </c>
    </row>
    <row r="322" spans="13:23" x14ac:dyDescent="0.25">
      <c r="M322" t="s">
        <v>140</v>
      </c>
      <c r="N322">
        <f t="shared" si="35"/>
        <v>13</v>
      </c>
      <c r="O322" t="str">
        <f t="shared" si="31"/>
        <v>30_00_13</v>
      </c>
      <c r="P322">
        <v>125.19</v>
      </c>
      <c r="Q322">
        <f t="shared" si="36"/>
        <v>1.64</v>
      </c>
      <c r="R322">
        <v>14434</v>
      </c>
      <c r="S322">
        <f t="shared" si="37"/>
        <v>161</v>
      </c>
      <c r="T322">
        <f t="shared" si="32"/>
        <v>1.155</v>
      </c>
      <c r="U322">
        <f t="shared" si="33"/>
        <v>170.6508</v>
      </c>
      <c r="V322">
        <f t="shared" si="34"/>
        <v>18896.919999999998</v>
      </c>
      <c r="W322" s="58" t="str">
        <f t="shared" si="38"/>
        <v>30° Skew Variable Width Abutment Parallel Wings</v>
      </c>
    </row>
    <row r="323" spans="13:23" x14ac:dyDescent="0.25">
      <c r="M323" t="s">
        <v>140</v>
      </c>
      <c r="N323">
        <f t="shared" si="35"/>
        <v>14</v>
      </c>
      <c r="O323" t="str">
        <f t="shared" ref="O323:O361" si="39">CONCATENATE(M323,"_",N323)</f>
        <v>30_00_14</v>
      </c>
      <c r="P323">
        <v>130.35</v>
      </c>
      <c r="Q323">
        <f t="shared" si="36"/>
        <v>1.71</v>
      </c>
      <c r="R323">
        <v>14434</v>
      </c>
      <c r="S323">
        <f t="shared" si="37"/>
        <v>161</v>
      </c>
      <c r="T323">
        <f t="shared" ref="T323:T361" si="40">ROUND(1/COS(RADIANS(LEFT(M323,2)*1)),3)</f>
        <v>1.155</v>
      </c>
      <c r="U323">
        <f t="shared" ref="U323:U361" si="41">P323+Q323*B$3*T323</f>
        <v>177.75119999999998</v>
      </c>
      <c r="V323">
        <f t="shared" ref="V323:V361" si="42">R323+S323*B$3*T323</f>
        <v>18896.919999999998</v>
      </c>
      <c r="W323" s="58" t="str">
        <f t="shared" si="38"/>
        <v>30° Skew Variable Width Abutment Parallel Wings</v>
      </c>
    </row>
    <row r="324" spans="13:23" x14ac:dyDescent="0.25">
      <c r="M324" t="s">
        <v>140</v>
      </c>
      <c r="N324">
        <f t="shared" si="35"/>
        <v>15</v>
      </c>
      <c r="O324" t="str">
        <f t="shared" si="39"/>
        <v>30_00_15</v>
      </c>
      <c r="P324">
        <v>160.85</v>
      </c>
      <c r="Q324">
        <f t="shared" si="36"/>
        <v>1.86</v>
      </c>
      <c r="R324">
        <v>19807</v>
      </c>
      <c r="S324">
        <f t="shared" si="37"/>
        <v>198.6</v>
      </c>
      <c r="T324">
        <f t="shared" si="40"/>
        <v>1.155</v>
      </c>
      <c r="U324">
        <f t="shared" si="41"/>
        <v>212.4092</v>
      </c>
      <c r="V324">
        <f t="shared" si="42"/>
        <v>25312.191999999999</v>
      </c>
      <c r="W324" s="58" t="str">
        <f t="shared" si="38"/>
        <v>30° Skew Variable Width Abutment Parallel Wings</v>
      </c>
    </row>
    <row r="325" spans="13:23" x14ac:dyDescent="0.25">
      <c r="M325" t="s">
        <v>140</v>
      </c>
      <c r="N325">
        <f t="shared" si="35"/>
        <v>16</v>
      </c>
      <c r="O325" t="str">
        <f t="shared" si="39"/>
        <v>30_00_16</v>
      </c>
      <c r="P325">
        <v>166.75</v>
      </c>
      <c r="Q325">
        <f t="shared" si="36"/>
        <v>1.93</v>
      </c>
      <c r="R325">
        <v>19807</v>
      </c>
      <c r="S325">
        <f t="shared" si="37"/>
        <v>198.6</v>
      </c>
      <c r="T325">
        <f t="shared" si="40"/>
        <v>1.155</v>
      </c>
      <c r="U325">
        <f t="shared" si="41"/>
        <v>220.24959999999999</v>
      </c>
      <c r="V325">
        <f t="shared" si="42"/>
        <v>25312.191999999999</v>
      </c>
      <c r="W325" s="58" t="str">
        <f t="shared" si="38"/>
        <v>30° Skew Variable Width Abutment Parallel Wings</v>
      </c>
    </row>
    <row r="326" spans="13:23" x14ac:dyDescent="0.25">
      <c r="M326" t="s">
        <v>141</v>
      </c>
      <c r="N326">
        <f t="shared" si="35"/>
        <v>5</v>
      </c>
      <c r="O326" t="str">
        <f t="shared" si="39"/>
        <v>35_00_5</v>
      </c>
      <c r="P326">
        <v>31.7</v>
      </c>
      <c r="Q326">
        <f t="shared" si="36"/>
        <v>0.71</v>
      </c>
      <c r="R326">
        <v>2972</v>
      </c>
      <c r="S326">
        <f t="shared" si="37"/>
        <v>52.8</v>
      </c>
      <c r="T326">
        <f t="shared" si="40"/>
        <v>1.2210000000000001</v>
      </c>
      <c r="U326">
        <f t="shared" si="41"/>
        <v>52.505839999999999</v>
      </c>
      <c r="V326">
        <f t="shared" si="42"/>
        <v>4519.2511999999997</v>
      </c>
      <c r="W326" s="58" t="str">
        <f t="shared" si="38"/>
        <v>35° Skew Variable Width Abutment Parallel Wings</v>
      </c>
    </row>
    <row r="327" spans="13:23" x14ac:dyDescent="0.25">
      <c r="M327" t="s">
        <v>141</v>
      </c>
      <c r="N327">
        <f t="shared" si="35"/>
        <v>6</v>
      </c>
      <c r="O327" t="str">
        <f t="shared" si="39"/>
        <v>35_00_6</v>
      </c>
      <c r="P327">
        <v>34.39</v>
      </c>
      <c r="Q327">
        <f t="shared" si="36"/>
        <v>0.78</v>
      </c>
      <c r="R327">
        <v>2972</v>
      </c>
      <c r="S327">
        <f t="shared" si="37"/>
        <v>52.8</v>
      </c>
      <c r="T327">
        <f t="shared" si="40"/>
        <v>1.2210000000000001</v>
      </c>
      <c r="U327">
        <f t="shared" si="41"/>
        <v>57.247120000000002</v>
      </c>
      <c r="V327">
        <f t="shared" si="42"/>
        <v>4519.2511999999997</v>
      </c>
      <c r="W327" s="58" t="str">
        <f t="shared" si="38"/>
        <v>35° Skew Variable Width Abutment Parallel Wings</v>
      </c>
    </row>
    <row r="328" spans="13:23" x14ac:dyDescent="0.25">
      <c r="M328" t="s">
        <v>141</v>
      </c>
      <c r="N328">
        <f t="shared" si="35"/>
        <v>7</v>
      </c>
      <c r="O328" t="str">
        <f t="shared" si="39"/>
        <v>35_00_7</v>
      </c>
      <c r="P328">
        <v>50.7</v>
      </c>
      <c r="Q328">
        <f t="shared" si="36"/>
        <v>0.93</v>
      </c>
      <c r="R328">
        <v>4623</v>
      </c>
      <c r="S328">
        <f t="shared" si="37"/>
        <v>68.7</v>
      </c>
      <c r="T328">
        <f t="shared" si="40"/>
        <v>1.2210000000000001</v>
      </c>
      <c r="U328">
        <f t="shared" si="41"/>
        <v>77.952719999999999</v>
      </c>
      <c r="V328">
        <f t="shared" si="42"/>
        <v>6636.1848000000009</v>
      </c>
      <c r="W328" s="58" t="str">
        <f t="shared" si="38"/>
        <v>35° Skew Variable Width Abutment Parallel Wings</v>
      </c>
    </row>
    <row r="329" spans="13:23" x14ac:dyDescent="0.25">
      <c r="M329" t="s">
        <v>141</v>
      </c>
      <c r="N329">
        <f t="shared" si="35"/>
        <v>8</v>
      </c>
      <c r="O329" t="str">
        <f t="shared" si="39"/>
        <v>35_00_8</v>
      </c>
      <c r="P329">
        <v>54.13</v>
      </c>
      <c r="Q329">
        <f t="shared" si="36"/>
        <v>1.01</v>
      </c>
      <c r="R329">
        <v>4623</v>
      </c>
      <c r="S329">
        <f t="shared" si="37"/>
        <v>68.7</v>
      </c>
      <c r="T329">
        <f t="shared" si="40"/>
        <v>1.2210000000000001</v>
      </c>
      <c r="U329">
        <f t="shared" si="41"/>
        <v>83.727040000000002</v>
      </c>
      <c r="V329">
        <f t="shared" si="42"/>
        <v>6636.1848000000009</v>
      </c>
      <c r="W329" s="58" t="str">
        <f t="shared" si="38"/>
        <v>35° Skew Variable Width Abutment Parallel Wings</v>
      </c>
    </row>
    <row r="330" spans="13:23" x14ac:dyDescent="0.25">
      <c r="M330" t="s">
        <v>141</v>
      </c>
      <c r="N330">
        <f t="shared" si="35"/>
        <v>9</v>
      </c>
      <c r="O330" t="str">
        <f t="shared" si="39"/>
        <v>35_00_9</v>
      </c>
      <c r="P330">
        <v>73.52</v>
      </c>
      <c r="Q330">
        <f t="shared" si="36"/>
        <v>1.19</v>
      </c>
      <c r="R330">
        <v>6860</v>
      </c>
      <c r="S330">
        <f t="shared" si="37"/>
        <v>91</v>
      </c>
      <c r="T330">
        <f t="shared" si="40"/>
        <v>1.2210000000000001</v>
      </c>
      <c r="U330">
        <f t="shared" si="41"/>
        <v>108.39176</v>
      </c>
      <c r="V330">
        <f t="shared" si="42"/>
        <v>9526.6640000000007</v>
      </c>
      <c r="W330" s="58" t="str">
        <f t="shared" si="38"/>
        <v>35° Skew Variable Width Abutment Parallel Wings</v>
      </c>
    </row>
    <row r="331" spans="13:23" x14ac:dyDescent="0.25">
      <c r="M331" t="s">
        <v>141</v>
      </c>
      <c r="N331">
        <f t="shared" si="35"/>
        <v>10</v>
      </c>
      <c r="O331" t="str">
        <f t="shared" si="39"/>
        <v>35_00_10</v>
      </c>
      <c r="P331">
        <v>77.540000000000006</v>
      </c>
      <c r="Q331">
        <f t="shared" si="36"/>
        <v>1.27</v>
      </c>
      <c r="R331">
        <v>6860</v>
      </c>
      <c r="S331">
        <f t="shared" si="37"/>
        <v>91</v>
      </c>
      <c r="T331">
        <f t="shared" si="40"/>
        <v>1.2210000000000001</v>
      </c>
      <c r="U331">
        <f t="shared" si="41"/>
        <v>114.75608000000001</v>
      </c>
      <c r="V331">
        <f t="shared" si="42"/>
        <v>9526.6640000000007</v>
      </c>
      <c r="W331" s="58" t="str">
        <f t="shared" si="38"/>
        <v>35° Skew Variable Width Abutment Parallel Wings</v>
      </c>
    </row>
    <row r="332" spans="13:23" x14ac:dyDescent="0.25">
      <c r="M332" t="s">
        <v>141</v>
      </c>
      <c r="N332">
        <f t="shared" si="35"/>
        <v>11</v>
      </c>
      <c r="O332" t="str">
        <f t="shared" si="39"/>
        <v>35_00_11</v>
      </c>
      <c r="P332">
        <v>101.33</v>
      </c>
      <c r="Q332">
        <f t="shared" si="36"/>
        <v>1.41</v>
      </c>
      <c r="R332">
        <v>10338</v>
      </c>
      <c r="S332">
        <f t="shared" si="37"/>
        <v>120.4</v>
      </c>
      <c r="T332">
        <f t="shared" si="40"/>
        <v>1.2210000000000001</v>
      </c>
      <c r="U332">
        <f t="shared" si="41"/>
        <v>142.64864</v>
      </c>
      <c r="V332">
        <f t="shared" si="42"/>
        <v>13866.2016</v>
      </c>
      <c r="W332" s="58" t="str">
        <f t="shared" si="38"/>
        <v>35° Skew Variable Width Abutment Parallel Wings</v>
      </c>
    </row>
    <row r="333" spans="13:23" x14ac:dyDescent="0.25">
      <c r="M333" t="s">
        <v>141</v>
      </c>
      <c r="N333">
        <f t="shared" si="35"/>
        <v>12</v>
      </c>
      <c r="O333" t="str">
        <f t="shared" si="39"/>
        <v>35_00_12</v>
      </c>
      <c r="P333">
        <v>106.09</v>
      </c>
      <c r="Q333">
        <f t="shared" si="36"/>
        <v>1.49</v>
      </c>
      <c r="R333">
        <v>10338</v>
      </c>
      <c r="S333">
        <f t="shared" si="37"/>
        <v>120.4</v>
      </c>
      <c r="T333">
        <f t="shared" si="40"/>
        <v>1.2210000000000001</v>
      </c>
      <c r="U333">
        <f t="shared" si="41"/>
        <v>149.75296</v>
      </c>
      <c r="V333">
        <f t="shared" si="42"/>
        <v>13866.2016</v>
      </c>
      <c r="W333" s="58" t="str">
        <f t="shared" si="38"/>
        <v>35° Skew Variable Width Abutment Parallel Wings</v>
      </c>
    </row>
    <row r="334" spans="13:23" x14ac:dyDescent="0.25">
      <c r="M334" t="s">
        <v>141</v>
      </c>
      <c r="N334">
        <f t="shared" si="35"/>
        <v>13</v>
      </c>
      <c r="O334" t="str">
        <f t="shared" si="39"/>
        <v>35_00_13</v>
      </c>
      <c r="P334">
        <v>133.58000000000001</v>
      </c>
      <c r="Q334">
        <f t="shared" si="36"/>
        <v>1.64</v>
      </c>
      <c r="R334">
        <v>15348</v>
      </c>
      <c r="S334">
        <f t="shared" si="37"/>
        <v>161</v>
      </c>
      <c r="T334">
        <f t="shared" si="40"/>
        <v>1.2210000000000001</v>
      </c>
      <c r="U334">
        <f t="shared" si="41"/>
        <v>181.63856000000001</v>
      </c>
      <c r="V334">
        <f t="shared" si="42"/>
        <v>20065.944</v>
      </c>
      <c r="W334" s="58" t="str">
        <f t="shared" si="38"/>
        <v>35° Skew Variable Width Abutment Parallel Wings</v>
      </c>
    </row>
    <row r="335" spans="13:23" x14ac:dyDescent="0.25">
      <c r="M335" t="s">
        <v>141</v>
      </c>
      <c r="N335">
        <f t="shared" si="35"/>
        <v>14</v>
      </c>
      <c r="O335" t="str">
        <f t="shared" si="39"/>
        <v>35_00_14</v>
      </c>
      <c r="P335">
        <v>139.09</v>
      </c>
      <c r="Q335">
        <f t="shared" si="36"/>
        <v>1.71</v>
      </c>
      <c r="R335">
        <v>15348</v>
      </c>
      <c r="S335">
        <f t="shared" si="37"/>
        <v>161</v>
      </c>
      <c r="T335">
        <f t="shared" si="40"/>
        <v>1.2210000000000001</v>
      </c>
      <c r="U335">
        <f t="shared" si="41"/>
        <v>189.19983999999999</v>
      </c>
      <c r="V335">
        <f t="shared" si="42"/>
        <v>20065.944</v>
      </c>
      <c r="W335" s="58" t="str">
        <f t="shared" si="38"/>
        <v>35° Skew Variable Width Abutment Parallel Wings</v>
      </c>
    </row>
    <row r="336" spans="13:23" x14ac:dyDescent="0.25">
      <c r="M336" t="s">
        <v>141</v>
      </c>
      <c r="N336">
        <f t="shared" si="35"/>
        <v>15</v>
      </c>
      <c r="O336" t="str">
        <f t="shared" si="39"/>
        <v>35_00_15</v>
      </c>
      <c r="P336">
        <v>170.28</v>
      </c>
      <c r="Q336">
        <f t="shared" si="36"/>
        <v>1.86</v>
      </c>
      <c r="R336">
        <v>20987</v>
      </c>
      <c r="S336">
        <f t="shared" si="37"/>
        <v>198.6</v>
      </c>
      <c r="T336">
        <f t="shared" si="40"/>
        <v>1.2210000000000001</v>
      </c>
      <c r="U336">
        <f t="shared" si="41"/>
        <v>224.78543999999999</v>
      </c>
      <c r="V336">
        <f t="shared" si="42"/>
        <v>26806.774400000002</v>
      </c>
      <c r="W336" s="58" t="str">
        <f t="shared" si="38"/>
        <v>35° Skew Variable Width Abutment Parallel Wings</v>
      </c>
    </row>
    <row r="337" spans="13:23" x14ac:dyDescent="0.25">
      <c r="M337" t="s">
        <v>141</v>
      </c>
      <c r="N337">
        <f t="shared" si="35"/>
        <v>16</v>
      </c>
      <c r="O337" t="str">
        <f t="shared" si="39"/>
        <v>35_00_16</v>
      </c>
      <c r="P337">
        <v>176.52</v>
      </c>
      <c r="Q337">
        <f t="shared" si="36"/>
        <v>1.93</v>
      </c>
      <c r="R337">
        <v>20987</v>
      </c>
      <c r="S337">
        <f t="shared" si="37"/>
        <v>198.6</v>
      </c>
      <c r="T337">
        <f t="shared" si="40"/>
        <v>1.2210000000000001</v>
      </c>
      <c r="U337">
        <f t="shared" si="41"/>
        <v>233.07672000000002</v>
      </c>
      <c r="V337">
        <f t="shared" si="42"/>
        <v>26806.774400000002</v>
      </c>
      <c r="W337" s="58" t="str">
        <f t="shared" si="38"/>
        <v>35° Skew Variable Width Abutment Parallel Wings</v>
      </c>
    </row>
    <row r="338" spans="13:23" x14ac:dyDescent="0.25">
      <c r="M338" t="s">
        <v>142</v>
      </c>
      <c r="N338">
        <f t="shared" si="35"/>
        <v>5</v>
      </c>
      <c r="O338" t="str">
        <f t="shared" si="39"/>
        <v>40_00_5</v>
      </c>
      <c r="P338">
        <v>34.19</v>
      </c>
      <c r="Q338">
        <f t="shared" si="36"/>
        <v>0.71</v>
      </c>
      <c r="R338">
        <v>32102</v>
      </c>
      <c r="S338">
        <f t="shared" si="37"/>
        <v>52.8</v>
      </c>
      <c r="T338">
        <f t="shared" si="40"/>
        <v>1.3049999999999999</v>
      </c>
      <c r="U338">
        <f t="shared" si="41"/>
        <v>56.427199999999999</v>
      </c>
      <c r="V338">
        <f t="shared" si="42"/>
        <v>33755.695999999996</v>
      </c>
      <c r="W338" s="58" t="str">
        <f t="shared" si="38"/>
        <v>40° Skew Variable Width Abutment Parallel Wings</v>
      </c>
    </row>
    <row r="339" spans="13:23" x14ac:dyDescent="0.25">
      <c r="M339" t="s">
        <v>142</v>
      </c>
      <c r="N339">
        <f t="shared" si="35"/>
        <v>6</v>
      </c>
      <c r="O339" t="str">
        <f t="shared" si="39"/>
        <v>40_00_6</v>
      </c>
      <c r="P339">
        <v>37.090000000000003</v>
      </c>
      <c r="Q339">
        <f t="shared" si="36"/>
        <v>0.78</v>
      </c>
      <c r="R339">
        <v>3202</v>
      </c>
      <c r="S339">
        <f t="shared" si="37"/>
        <v>52.8</v>
      </c>
      <c r="T339">
        <f t="shared" si="40"/>
        <v>1.3049999999999999</v>
      </c>
      <c r="U339">
        <f t="shared" si="41"/>
        <v>61.519599999999997</v>
      </c>
      <c r="V339">
        <f t="shared" si="42"/>
        <v>4855.6959999999999</v>
      </c>
      <c r="W339" s="58" t="str">
        <f t="shared" si="38"/>
        <v>40° Skew Variable Width Abutment Parallel Wings</v>
      </c>
    </row>
    <row r="340" spans="13:23" x14ac:dyDescent="0.25">
      <c r="M340" t="s">
        <v>142</v>
      </c>
      <c r="N340">
        <f t="shared" si="35"/>
        <v>7</v>
      </c>
      <c r="O340" t="str">
        <f t="shared" si="39"/>
        <v>40_00_7</v>
      </c>
      <c r="P340">
        <v>53.82</v>
      </c>
      <c r="Q340">
        <f t="shared" si="36"/>
        <v>0.93</v>
      </c>
      <c r="R340">
        <v>4894</v>
      </c>
      <c r="S340">
        <f t="shared" si="37"/>
        <v>68.7</v>
      </c>
      <c r="T340">
        <f t="shared" si="40"/>
        <v>1.3049999999999999</v>
      </c>
      <c r="U340">
        <f t="shared" si="41"/>
        <v>82.947599999999994</v>
      </c>
      <c r="V340">
        <f t="shared" si="42"/>
        <v>7045.6840000000002</v>
      </c>
      <c r="W340" s="58" t="str">
        <f t="shared" si="38"/>
        <v>40° Skew Variable Width Abutment Parallel Wings</v>
      </c>
    </row>
    <row r="341" spans="13:23" x14ac:dyDescent="0.25">
      <c r="M341" t="s">
        <v>142</v>
      </c>
      <c r="N341">
        <f t="shared" si="35"/>
        <v>8</v>
      </c>
      <c r="O341" t="str">
        <f t="shared" si="39"/>
        <v>40_00_8</v>
      </c>
      <c r="P341">
        <v>57.46</v>
      </c>
      <c r="Q341">
        <f t="shared" si="36"/>
        <v>1.01</v>
      </c>
      <c r="R341">
        <v>4894</v>
      </c>
      <c r="S341">
        <f t="shared" si="37"/>
        <v>68.7</v>
      </c>
      <c r="T341">
        <f t="shared" si="40"/>
        <v>1.3049999999999999</v>
      </c>
      <c r="U341">
        <f t="shared" si="41"/>
        <v>89.093199999999996</v>
      </c>
      <c r="V341">
        <f t="shared" si="42"/>
        <v>7045.6840000000002</v>
      </c>
      <c r="W341" s="58" t="str">
        <f t="shared" si="38"/>
        <v>40° Skew Variable Width Abutment Parallel Wings</v>
      </c>
    </row>
    <row r="342" spans="13:23" x14ac:dyDescent="0.25">
      <c r="M342" t="s">
        <v>142</v>
      </c>
      <c r="N342">
        <f t="shared" si="35"/>
        <v>9</v>
      </c>
      <c r="O342" t="str">
        <f t="shared" si="39"/>
        <v>40_00_9</v>
      </c>
      <c r="P342">
        <v>80.09</v>
      </c>
      <c r="Q342">
        <f t="shared" si="36"/>
        <v>1.19</v>
      </c>
      <c r="R342">
        <v>7447</v>
      </c>
      <c r="S342">
        <f t="shared" si="37"/>
        <v>91</v>
      </c>
      <c r="T342">
        <f t="shared" si="40"/>
        <v>1.3049999999999999</v>
      </c>
      <c r="U342">
        <f t="shared" si="41"/>
        <v>117.3608</v>
      </c>
      <c r="V342">
        <f t="shared" si="42"/>
        <v>10297.119999999999</v>
      </c>
      <c r="W342" s="58" t="str">
        <f t="shared" si="38"/>
        <v>40° Skew Variable Width Abutment Parallel Wings</v>
      </c>
    </row>
    <row r="343" spans="13:23" x14ac:dyDescent="0.25">
      <c r="M343" t="s">
        <v>142</v>
      </c>
      <c r="N343">
        <f t="shared" si="35"/>
        <v>10</v>
      </c>
      <c r="O343" t="str">
        <f t="shared" si="39"/>
        <v>40_00_10</v>
      </c>
      <c r="P343">
        <v>84.47</v>
      </c>
      <c r="Q343">
        <f t="shared" si="36"/>
        <v>1.27</v>
      </c>
      <c r="R343">
        <v>7447</v>
      </c>
      <c r="S343">
        <f t="shared" si="37"/>
        <v>91</v>
      </c>
      <c r="T343">
        <f t="shared" si="40"/>
        <v>1.3049999999999999</v>
      </c>
      <c r="U343">
        <f t="shared" si="41"/>
        <v>124.24639999999999</v>
      </c>
      <c r="V343">
        <f t="shared" si="42"/>
        <v>10297.119999999999</v>
      </c>
      <c r="W343" s="58" t="str">
        <f t="shared" si="38"/>
        <v>40° Skew Variable Width Abutment Parallel Wings</v>
      </c>
    </row>
    <row r="344" spans="13:23" x14ac:dyDescent="0.25">
      <c r="M344" t="s">
        <v>142</v>
      </c>
      <c r="N344">
        <f t="shared" si="35"/>
        <v>11</v>
      </c>
      <c r="O344" t="str">
        <f t="shared" si="39"/>
        <v>40_00_11</v>
      </c>
      <c r="P344">
        <v>108.97</v>
      </c>
      <c r="Q344">
        <f t="shared" si="36"/>
        <v>1.41</v>
      </c>
      <c r="R344">
        <v>11097</v>
      </c>
      <c r="S344">
        <f t="shared" si="37"/>
        <v>120.4</v>
      </c>
      <c r="T344">
        <f t="shared" si="40"/>
        <v>1.3049999999999999</v>
      </c>
      <c r="U344">
        <f t="shared" si="41"/>
        <v>153.13119999999998</v>
      </c>
      <c r="V344">
        <f t="shared" si="42"/>
        <v>14867.928</v>
      </c>
      <c r="W344" s="58" t="str">
        <f t="shared" si="38"/>
        <v>40° Skew Variable Width Abutment Parallel Wings</v>
      </c>
    </row>
    <row r="345" spans="13:23" x14ac:dyDescent="0.25">
      <c r="M345" t="s">
        <v>142</v>
      </c>
      <c r="N345">
        <f t="shared" si="35"/>
        <v>12</v>
      </c>
      <c r="O345" t="str">
        <f t="shared" si="39"/>
        <v>40_00_12</v>
      </c>
      <c r="P345">
        <v>114.1</v>
      </c>
      <c r="Q345">
        <f t="shared" si="36"/>
        <v>1.49</v>
      </c>
      <c r="R345">
        <v>11097</v>
      </c>
      <c r="S345">
        <f t="shared" si="37"/>
        <v>120.4</v>
      </c>
      <c r="T345">
        <f t="shared" si="40"/>
        <v>1.3049999999999999</v>
      </c>
      <c r="U345">
        <f t="shared" si="41"/>
        <v>160.76679999999999</v>
      </c>
      <c r="V345">
        <f t="shared" si="42"/>
        <v>14867.928</v>
      </c>
      <c r="W345" s="58" t="str">
        <f t="shared" si="38"/>
        <v>40° Skew Variable Width Abutment Parallel Wings</v>
      </c>
    </row>
    <row r="346" spans="13:23" x14ac:dyDescent="0.25">
      <c r="M346" t="s">
        <v>142</v>
      </c>
      <c r="N346">
        <f t="shared" si="35"/>
        <v>13</v>
      </c>
      <c r="O346" t="str">
        <f t="shared" si="39"/>
        <v>40_00_13</v>
      </c>
      <c r="P346">
        <v>142.31</v>
      </c>
      <c r="Q346">
        <f t="shared" si="36"/>
        <v>1.64</v>
      </c>
      <c r="R346">
        <v>16337</v>
      </c>
      <c r="S346">
        <f t="shared" si="37"/>
        <v>161</v>
      </c>
      <c r="T346">
        <f t="shared" si="40"/>
        <v>1.3049999999999999</v>
      </c>
      <c r="U346">
        <f t="shared" si="41"/>
        <v>193.6748</v>
      </c>
      <c r="V346">
        <f t="shared" si="42"/>
        <v>21379.52</v>
      </c>
      <c r="W346" s="58" t="str">
        <f t="shared" si="38"/>
        <v>40° Skew Variable Width Abutment Parallel Wings</v>
      </c>
    </row>
    <row r="347" spans="13:23" x14ac:dyDescent="0.25">
      <c r="M347" t="s">
        <v>142</v>
      </c>
      <c r="N347">
        <f t="shared" si="35"/>
        <v>14</v>
      </c>
      <c r="O347" t="str">
        <f t="shared" si="39"/>
        <v>40_00_14</v>
      </c>
      <c r="P347">
        <v>148.16999999999999</v>
      </c>
      <c r="Q347">
        <f t="shared" si="36"/>
        <v>1.71</v>
      </c>
      <c r="R347">
        <v>16337</v>
      </c>
      <c r="S347">
        <f t="shared" si="37"/>
        <v>161</v>
      </c>
      <c r="T347">
        <f t="shared" si="40"/>
        <v>1.3049999999999999</v>
      </c>
      <c r="U347">
        <f t="shared" si="41"/>
        <v>201.72719999999998</v>
      </c>
      <c r="V347">
        <f t="shared" si="42"/>
        <v>21379.52</v>
      </c>
      <c r="W347" s="58" t="str">
        <f t="shared" si="38"/>
        <v>40° Skew Variable Width Abutment Parallel Wings</v>
      </c>
    </row>
    <row r="348" spans="13:23" x14ac:dyDescent="0.25">
      <c r="M348" t="s">
        <v>142</v>
      </c>
      <c r="N348">
        <f t="shared" si="35"/>
        <v>15</v>
      </c>
      <c r="O348" t="str">
        <f t="shared" si="39"/>
        <v>40_00_15</v>
      </c>
      <c r="P348">
        <v>180.08</v>
      </c>
      <c r="Q348">
        <f t="shared" si="36"/>
        <v>1.86</v>
      </c>
      <c r="R348">
        <v>22188</v>
      </c>
      <c r="S348">
        <f t="shared" si="37"/>
        <v>198.6</v>
      </c>
      <c r="T348">
        <f t="shared" si="40"/>
        <v>1.3049999999999999</v>
      </c>
      <c r="U348">
        <f t="shared" si="41"/>
        <v>238.33520000000001</v>
      </c>
      <c r="V348">
        <f t="shared" si="42"/>
        <v>28408.151999999998</v>
      </c>
      <c r="W348" s="58" t="str">
        <f t="shared" si="38"/>
        <v>40° Skew Variable Width Abutment Parallel Wings</v>
      </c>
    </row>
    <row r="349" spans="13:23" x14ac:dyDescent="0.25">
      <c r="M349" t="s">
        <v>142</v>
      </c>
      <c r="N349">
        <f t="shared" si="35"/>
        <v>16</v>
      </c>
      <c r="O349" t="str">
        <f t="shared" si="39"/>
        <v>40_00_16</v>
      </c>
      <c r="P349">
        <v>186.69</v>
      </c>
      <c r="Q349">
        <f t="shared" si="36"/>
        <v>1.93</v>
      </c>
      <c r="R349">
        <v>22188</v>
      </c>
      <c r="S349">
        <f t="shared" si="37"/>
        <v>198.6</v>
      </c>
      <c r="T349">
        <f t="shared" si="40"/>
        <v>1.3049999999999999</v>
      </c>
      <c r="U349">
        <f t="shared" si="41"/>
        <v>247.13759999999999</v>
      </c>
      <c r="V349">
        <f t="shared" si="42"/>
        <v>28408.151999999998</v>
      </c>
      <c r="W349" s="58" t="str">
        <f t="shared" si="38"/>
        <v>40° Skew Variable Width Abutment Parallel Wings</v>
      </c>
    </row>
    <row r="350" spans="13:23" x14ac:dyDescent="0.25">
      <c r="M350" t="s">
        <v>143</v>
      </c>
      <c r="N350">
        <f t="shared" si="35"/>
        <v>5</v>
      </c>
      <c r="O350" t="str">
        <f t="shared" si="39"/>
        <v>45_00_5</v>
      </c>
      <c r="P350">
        <v>36.9</v>
      </c>
      <c r="Q350">
        <f t="shared" si="36"/>
        <v>0.71</v>
      </c>
      <c r="R350">
        <v>3443</v>
      </c>
      <c r="S350">
        <f t="shared" si="37"/>
        <v>52.8</v>
      </c>
      <c r="T350">
        <f t="shared" si="40"/>
        <v>1.4139999999999999</v>
      </c>
      <c r="U350">
        <f t="shared" si="41"/>
        <v>60.994559999999993</v>
      </c>
      <c r="V350">
        <f t="shared" si="42"/>
        <v>5234.8207999999995</v>
      </c>
      <c r="W350" s="58" t="str">
        <f t="shared" si="38"/>
        <v>45° Skew Variable Width Abutment Parallel Wings</v>
      </c>
    </row>
    <row r="351" spans="13:23" x14ac:dyDescent="0.25">
      <c r="M351" t="s">
        <v>143</v>
      </c>
      <c r="N351">
        <f t="shared" si="35"/>
        <v>6</v>
      </c>
      <c r="O351" t="str">
        <f t="shared" si="39"/>
        <v>45_00_6</v>
      </c>
      <c r="P351">
        <v>40.03</v>
      </c>
      <c r="Q351">
        <f t="shared" si="36"/>
        <v>0.78</v>
      </c>
      <c r="R351">
        <v>3443</v>
      </c>
      <c r="S351">
        <f t="shared" si="37"/>
        <v>52.8</v>
      </c>
      <c r="T351">
        <f t="shared" si="40"/>
        <v>1.4139999999999999</v>
      </c>
      <c r="U351">
        <f t="shared" si="41"/>
        <v>66.500079999999997</v>
      </c>
      <c r="V351">
        <f t="shared" si="42"/>
        <v>5234.8207999999995</v>
      </c>
      <c r="W351" s="58" t="str">
        <f t="shared" si="38"/>
        <v>45° Skew Variable Width Abutment Parallel Wings</v>
      </c>
    </row>
    <row r="352" spans="13:23" x14ac:dyDescent="0.25">
      <c r="M352" t="s">
        <v>143</v>
      </c>
      <c r="N352">
        <f t="shared" si="35"/>
        <v>7</v>
      </c>
      <c r="O352" t="str">
        <f t="shared" si="39"/>
        <v>45_00_7</v>
      </c>
      <c r="P352">
        <v>57.21</v>
      </c>
      <c r="Q352">
        <f t="shared" si="36"/>
        <v>0.93</v>
      </c>
      <c r="R352">
        <v>5214</v>
      </c>
      <c r="S352">
        <f t="shared" si="37"/>
        <v>68.7</v>
      </c>
      <c r="T352">
        <f t="shared" si="40"/>
        <v>1.4139999999999999</v>
      </c>
      <c r="U352">
        <f t="shared" si="41"/>
        <v>88.770479999999992</v>
      </c>
      <c r="V352">
        <f t="shared" si="42"/>
        <v>7545.4032000000007</v>
      </c>
      <c r="W352" s="58" t="str">
        <f t="shared" si="38"/>
        <v>45° Skew Variable Width Abutment Parallel Wings</v>
      </c>
    </row>
    <row r="353" spans="13:23" x14ac:dyDescent="0.25">
      <c r="M353" t="s">
        <v>143</v>
      </c>
      <c r="N353">
        <f t="shared" si="35"/>
        <v>8</v>
      </c>
      <c r="O353" t="str">
        <f t="shared" si="39"/>
        <v>45_00_8</v>
      </c>
      <c r="P353">
        <v>61.08</v>
      </c>
      <c r="Q353">
        <f t="shared" si="36"/>
        <v>1.01</v>
      </c>
      <c r="R353">
        <v>5214</v>
      </c>
      <c r="S353">
        <f t="shared" si="37"/>
        <v>68.7</v>
      </c>
      <c r="T353">
        <f t="shared" si="40"/>
        <v>1.4139999999999999</v>
      </c>
      <c r="U353">
        <f t="shared" si="41"/>
        <v>95.35535999999999</v>
      </c>
      <c r="V353">
        <f t="shared" si="42"/>
        <v>7545.4032000000007</v>
      </c>
      <c r="W353" s="58" t="str">
        <f t="shared" si="38"/>
        <v>45° Skew Variable Width Abutment Parallel Wings</v>
      </c>
    </row>
    <row r="354" spans="13:23" x14ac:dyDescent="0.25">
      <c r="M354" t="s">
        <v>143</v>
      </c>
      <c r="N354">
        <f t="shared" si="35"/>
        <v>9</v>
      </c>
      <c r="O354" t="str">
        <f t="shared" si="39"/>
        <v>45_00_9</v>
      </c>
      <c r="P354">
        <v>86.98</v>
      </c>
      <c r="Q354">
        <f t="shared" si="36"/>
        <v>1.19</v>
      </c>
      <c r="R354">
        <v>8069</v>
      </c>
      <c r="S354">
        <f t="shared" si="37"/>
        <v>91</v>
      </c>
      <c r="T354">
        <f t="shared" si="40"/>
        <v>1.4139999999999999</v>
      </c>
      <c r="U354">
        <f t="shared" si="41"/>
        <v>127.36384000000001</v>
      </c>
      <c r="V354">
        <f t="shared" si="42"/>
        <v>11157.175999999999</v>
      </c>
      <c r="W354" s="58" t="str">
        <f t="shared" si="38"/>
        <v>45° Skew Variable Width Abutment Parallel Wings</v>
      </c>
    </row>
    <row r="355" spans="13:23" x14ac:dyDescent="0.25">
      <c r="M355" t="s">
        <v>143</v>
      </c>
      <c r="N355">
        <f t="shared" si="35"/>
        <v>10</v>
      </c>
      <c r="O355" t="str">
        <f t="shared" si="39"/>
        <v>45_00_10</v>
      </c>
      <c r="P355">
        <v>91.74</v>
      </c>
      <c r="Q355">
        <f t="shared" si="36"/>
        <v>1.27</v>
      </c>
      <c r="R355">
        <v>8069</v>
      </c>
      <c r="S355">
        <f t="shared" si="37"/>
        <v>91</v>
      </c>
      <c r="T355">
        <f t="shared" si="40"/>
        <v>1.4139999999999999</v>
      </c>
      <c r="U355">
        <f t="shared" si="41"/>
        <v>134.83872</v>
      </c>
      <c r="V355">
        <f t="shared" si="42"/>
        <v>11157.175999999999</v>
      </c>
      <c r="W355" s="58" t="str">
        <f t="shared" si="38"/>
        <v>45° Skew Variable Width Abutment Parallel Wings</v>
      </c>
    </row>
    <row r="356" spans="13:23" x14ac:dyDescent="0.25">
      <c r="M356" t="s">
        <v>143</v>
      </c>
      <c r="N356">
        <f t="shared" si="35"/>
        <v>11</v>
      </c>
      <c r="O356" t="str">
        <f t="shared" si="39"/>
        <v>45_00_11</v>
      </c>
      <c r="P356">
        <v>117.01</v>
      </c>
      <c r="Q356">
        <f t="shared" si="36"/>
        <v>1.41</v>
      </c>
      <c r="R356">
        <v>11902</v>
      </c>
      <c r="S356">
        <f t="shared" si="37"/>
        <v>120.4</v>
      </c>
      <c r="T356">
        <f t="shared" si="40"/>
        <v>1.4139999999999999</v>
      </c>
      <c r="U356">
        <f t="shared" si="41"/>
        <v>164.85975999999999</v>
      </c>
      <c r="V356">
        <f t="shared" si="42"/>
        <v>15987.894400000001</v>
      </c>
      <c r="W356" s="58" t="str">
        <f t="shared" si="38"/>
        <v>45° Skew Variable Width Abutment Parallel Wings</v>
      </c>
    </row>
    <row r="357" spans="13:23" x14ac:dyDescent="0.25">
      <c r="M357" t="s">
        <v>143</v>
      </c>
      <c r="N357">
        <f t="shared" si="35"/>
        <v>12</v>
      </c>
      <c r="O357" t="str">
        <f t="shared" si="39"/>
        <v>45_00_12</v>
      </c>
      <c r="P357">
        <v>122.51</v>
      </c>
      <c r="Q357">
        <f t="shared" si="36"/>
        <v>1.49</v>
      </c>
      <c r="R357">
        <v>11902</v>
      </c>
      <c r="S357">
        <f t="shared" si="37"/>
        <v>120.4</v>
      </c>
      <c r="T357">
        <f t="shared" si="40"/>
        <v>1.4139999999999999</v>
      </c>
      <c r="U357">
        <f t="shared" si="41"/>
        <v>173.07463999999999</v>
      </c>
      <c r="V357">
        <f t="shared" si="42"/>
        <v>15987.894400000001</v>
      </c>
      <c r="W357" s="58" t="str">
        <f t="shared" si="38"/>
        <v>45° Skew Variable Width Abutment Parallel Wings</v>
      </c>
    </row>
    <row r="358" spans="13:23" x14ac:dyDescent="0.25">
      <c r="M358" t="s">
        <v>143</v>
      </c>
      <c r="N358">
        <f t="shared" si="35"/>
        <v>13</v>
      </c>
      <c r="O358" t="str">
        <f t="shared" si="39"/>
        <v>45_00_13</v>
      </c>
      <c r="P358">
        <v>155.06</v>
      </c>
      <c r="Q358">
        <f t="shared" si="36"/>
        <v>1.64</v>
      </c>
      <c r="R358">
        <v>17799</v>
      </c>
      <c r="S358">
        <f t="shared" si="37"/>
        <v>161</v>
      </c>
      <c r="T358">
        <f t="shared" si="40"/>
        <v>1.4139999999999999</v>
      </c>
      <c r="U358">
        <f t="shared" si="41"/>
        <v>210.71503999999999</v>
      </c>
      <c r="V358">
        <f t="shared" si="42"/>
        <v>23262.696</v>
      </c>
      <c r="W358" s="58" t="str">
        <f t="shared" si="38"/>
        <v>45° Skew Variable Width Abutment Parallel Wings</v>
      </c>
    </row>
    <row r="359" spans="13:23" x14ac:dyDescent="0.25">
      <c r="M359" t="s">
        <v>143</v>
      </c>
      <c r="N359">
        <f t="shared" si="35"/>
        <v>14</v>
      </c>
      <c r="O359" t="str">
        <f t="shared" si="39"/>
        <v>45_00_14</v>
      </c>
      <c r="P359">
        <v>161.44999999999999</v>
      </c>
      <c r="Q359">
        <f t="shared" si="36"/>
        <v>1.71</v>
      </c>
      <c r="R359">
        <v>17799</v>
      </c>
      <c r="S359">
        <f t="shared" si="37"/>
        <v>161</v>
      </c>
      <c r="T359">
        <f t="shared" si="40"/>
        <v>1.4139999999999999</v>
      </c>
      <c r="U359">
        <f t="shared" si="41"/>
        <v>219.48055999999997</v>
      </c>
      <c r="V359">
        <f t="shared" si="42"/>
        <v>23262.696</v>
      </c>
      <c r="W359" s="58" t="str">
        <f t="shared" si="38"/>
        <v>45° Skew Variable Width Abutment Parallel Wings</v>
      </c>
    </row>
    <row r="360" spans="13:23" x14ac:dyDescent="0.25">
      <c r="M360" t="s">
        <v>143</v>
      </c>
      <c r="N360">
        <f t="shared" si="35"/>
        <v>15</v>
      </c>
      <c r="O360" t="str">
        <f t="shared" si="39"/>
        <v>45_00_15</v>
      </c>
      <c r="P360">
        <v>194.42</v>
      </c>
      <c r="Q360">
        <f t="shared" si="36"/>
        <v>1.86</v>
      </c>
      <c r="R360">
        <v>23895</v>
      </c>
      <c r="S360">
        <f t="shared" si="37"/>
        <v>198.6</v>
      </c>
      <c r="T360">
        <f t="shared" si="40"/>
        <v>1.4139999999999999</v>
      </c>
      <c r="U360">
        <f t="shared" si="41"/>
        <v>257.54095999999998</v>
      </c>
      <c r="V360">
        <f t="shared" si="42"/>
        <v>30634.689599999998</v>
      </c>
      <c r="W360" s="58" t="str">
        <f t="shared" si="38"/>
        <v>45° Skew Variable Width Abutment Parallel Wings</v>
      </c>
    </row>
    <row r="361" spans="13:23" x14ac:dyDescent="0.25">
      <c r="M361" t="s">
        <v>143</v>
      </c>
      <c r="N361">
        <f t="shared" si="35"/>
        <v>16</v>
      </c>
      <c r="O361" t="str">
        <f t="shared" si="39"/>
        <v>45_00_16</v>
      </c>
      <c r="P361">
        <v>201.55</v>
      </c>
      <c r="Q361">
        <f t="shared" si="36"/>
        <v>1.93</v>
      </c>
      <c r="R361">
        <v>23895</v>
      </c>
      <c r="S361">
        <f t="shared" si="37"/>
        <v>198.6</v>
      </c>
      <c r="T361">
        <f t="shared" si="40"/>
        <v>1.4139999999999999</v>
      </c>
      <c r="U361">
        <f t="shared" si="41"/>
        <v>267.04647999999997</v>
      </c>
      <c r="V361">
        <f t="shared" si="42"/>
        <v>30634.689599999998</v>
      </c>
      <c r="W361" s="58" t="str">
        <f t="shared" si="38"/>
        <v>45° Skew Variable Width Abutment Parallel Wings</v>
      </c>
    </row>
  </sheetData>
  <mergeCells count="13">
    <mergeCell ref="A23:B23"/>
    <mergeCell ref="C7:F7"/>
    <mergeCell ref="C8:F8"/>
    <mergeCell ref="C9:F9"/>
    <mergeCell ref="C10:F10"/>
    <mergeCell ref="C11:F11"/>
    <mergeCell ref="A22:B22"/>
    <mergeCell ref="C6:F6"/>
    <mergeCell ref="C1:F1"/>
    <mergeCell ref="C2:F2"/>
    <mergeCell ref="C3:F3"/>
    <mergeCell ref="C4:F4"/>
    <mergeCell ref="C5:F5"/>
  </mergeCells>
  <dataValidations count="2">
    <dataValidation type="list" allowBlank="1" showInputMessage="1" showErrorMessage="1" sqref="B5" xr:uid="{F4AD47B7-746F-4663-AC72-9ADF53F4D125}">
      <formula1>$AC$2:$AC$11</formula1>
    </dataValidation>
    <dataValidation type="list" allowBlank="1" showInputMessage="1" showErrorMessage="1" sqref="B6" xr:uid="{B778E0D2-549E-42E2-A555-39DDDD301EC6}">
      <formula1>$AB$2:$AB$4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FDE7-C72C-405F-BBC3-124AD012E64F}">
  <sheetPr codeName="Sheet7"/>
  <dimension ref="A1:AA97"/>
  <sheetViews>
    <sheetView workbookViewId="0">
      <selection sqref="A1:B1"/>
    </sheetView>
  </sheetViews>
  <sheetFormatPr defaultRowHeight="15" x14ac:dyDescent="0.25"/>
  <cols>
    <col min="1" max="1" width="50.7109375" customWidth="1"/>
    <col min="2" max="2" width="12" bestFit="1" customWidth="1"/>
    <col min="3" max="3" width="8" bestFit="1" customWidth="1"/>
    <col min="4" max="4" width="12" bestFit="1" customWidth="1"/>
    <col min="5" max="5" width="12.5703125" bestFit="1" customWidth="1"/>
    <col min="6" max="6" width="12" bestFit="1" customWidth="1"/>
    <col min="7" max="7" width="12" customWidth="1"/>
    <col min="8" max="14" width="12" hidden="1" customWidth="1"/>
    <col min="15" max="21" width="0" hidden="1" customWidth="1"/>
    <col min="22" max="27" width="9.140625" hidden="1" customWidth="1"/>
    <col min="28" max="29" width="9.140625" customWidth="1"/>
  </cols>
  <sheetData>
    <row r="1" spans="1:26" ht="17.25" x14ac:dyDescent="0.3">
      <c r="A1" s="204" t="s">
        <v>159</v>
      </c>
      <c r="B1" s="205"/>
      <c r="C1" s="183" t="s">
        <v>86</v>
      </c>
      <c r="D1" s="183"/>
      <c r="E1" s="183"/>
      <c r="F1" s="183"/>
      <c r="G1" s="21"/>
      <c r="H1" s="21" t="s">
        <v>324</v>
      </c>
      <c r="I1" s="21" t="s">
        <v>323</v>
      </c>
      <c r="J1" s="21" t="s">
        <v>265</v>
      </c>
      <c r="K1" s="21" t="s">
        <v>326</v>
      </c>
      <c r="L1" s="21" t="s">
        <v>32</v>
      </c>
      <c r="M1" s="21" t="s">
        <v>274</v>
      </c>
      <c r="N1" s="21" t="s">
        <v>84</v>
      </c>
      <c r="Q1" s="21" t="s">
        <v>352</v>
      </c>
      <c r="R1" s="21" t="s">
        <v>327</v>
      </c>
      <c r="T1" s="21"/>
      <c r="Z1" t="s">
        <v>324</v>
      </c>
    </row>
    <row r="2" spans="1:26" x14ac:dyDescent="0.25">
      <c r="A2" s="4" t="s">
        <v>91</v>
      </c>
      <c r="B2" s="130">
        <v>0</v>
      </c>
      <c r="C2" s="177"/>
      <c r="D2" s="178"/>
      <c r="E2" s="178"/>
      <c r="F2" s="179"/>
      <c r="G2" s="26"/>
      <c r="H2" s="26">
        <v>0</v>
      </c>
      <c r="I2">
        <v>1</v>
      </c>
      <c r="J2" s="51" t="s">
        <v>266</v>
      </c>
      <c r="K2" s="26" t="str">
        <f>CONCATENATE(H2,I2,J2)</f>
        <v>0110-11</v>
      </c>
      <c r="L2" s="26">
        <v>38.299999999999997</v>
      </c>
      <c r="M2" s="26">
        <v>740</v>
      </c>
      <c r="N2">
        <v>4113</v>
      </c>
      <c r="Q2" s="64" t="s">
        <v>340</v>
      </c>
      <c r="R2" s="54" t="s">
        <v>329</v>
      </c>
      <c r="Z2">
        <v>0</v>
      </c>
    </row>
    <row r="3" spans="1:26" x14ac:dyDescent="0.25">
      <c r="A3" s="4" t="s">
        <v>156</v>
      </c>
      <c r="B3" s="132">
        <v>15</v>
      </c>
      <c r="C3" s="177"/>
      <c r="D3" s="178"/>
      <c r="E3" s="178"/>
      <c r="F3" s="179"/>
      <c r="G3" s="22"/>
      <c r="H3" s="26">
        <v>0</v>
      </c>
      <c r="I3">
        <v>1</v>
      </c>
      <c r="J3" s="51" t="s">
        <v>268</v>
      </c>
      <c r="K3" s="26" t="str">
        <f t="shared" ref="K3:K66" si="0">CONCATENATE(H3,I3,J3)</f>
        <v>0112-13</v>
      </c>
      <c r="L3" s="22">
        <v>40.5</v>
      </c>
      <c r="M3" s="26">
        <v>740</v>
      </c>
      <c r="N3">
        <v>4446</v>
      </c>
      <c r="Q3" s="65" t="s">
        <v>341</v>
      </c>
      <c r="R3" s="54" t="s">
        <v>328</v>
      </c>
      <c r="Z3">
        <v>15</v>
      </c>
    </row>
    <row r="4" spans="1:26" x14ac:dyDescent="0.25">
      <c r="A4" s="4" t="s">
        <v>264</v>
      </c>
      <c r="B4" s="130">
        <v>15.5</v>
      </c>
      <c r="C4" s="177"/>
      <c r="D4" s="178"/>
      <c r="E4" s="178"/>
      <c r="F4" s="179"/>
      <c r="G4" s="22"/>
      <c r="H4" s="26">
        <v>0</v>
      </c>
      <c r="I4">
        <v>1</v>
      </c>
      <c r="J4" s="51" t="s">
        <v>267</v>
      </c>
      <c r="K4" s="26" t="str">
        <f t="shared" si="0"/>
        <v>0114-15</v>
      </c>
      <c r="L4" s="22">
        <v>42.6</v>
      </c>
      <c r="M4" s="26">
        <v>740</v>
      </c>
      <c r="N4">
        <v>4779</v>
      </c>
      <c r="Q4" s="65" t="s">
        <v>342</v>
      </c>
      <c r="R4" s="54" t="s">
        <v>330</v>
      </c>
      <c r="Z4">
        <v>30</v>
      </c>
    </row>
    <row r="5" spans="1:26" hidden="1" x14ac:dyDescent="0.25">
      <c r="A5" s="4" t="s">
        <v>276</v>
      </c>
      <c r="B5" s="52" t="str">
        <f>IF(B4&lt;=11,"10-11",IF(B4&lt;=13,"12-13",IF(B4&lt;=15,"14-15",IF(B4&lt;=17,"16-17",IF(B4&lt;=19,"18-19",IF(B4&lt;=21,"20-21",IF(B4&lt;=23,"22-23",IF(B4&lt;=25,"24-25","ERROR"))))))))</f>
        <v>16-17</v>
      </c>
      <c r="C5" s="177" t="s">
        <v>174</v>
      </c>
      <c r="D5" s="178"/>
      <c r="E5" s="178"/>
      <c r="F5" s="179"/>
      <c r="G5" s="22"/>
      <c r="H5" s="26">
        <v>0</v>
      </c>
      <c r="I5">
        <v>1</v>
      </c>
      <c r="J5" s="51" t="s">
        <v>269</v>
      </c>
      <c r="K5" s="26" t="str">
        <f t="shared" si="0"/>
        <v>0116-17</v>
      </c>
      <c r="L5" s="22">
        <v>44.8</v>
      </c>
      <c r="M5" s="26">
        <v>740</v>
      </c>
      <c r="N5">
        <v>5112</v>
      </c>
      <c r="Q5" s="65" t="s">
        <v>343</v>
      </c>
      <c r="R5" s="54" t="s">
        <v>331</v>
      </c>
      <c r="Z5">
        <v>45</v>
      </c>
    </row>
    <row r="6" spans="1:26" hidden="1" x14ac:dyDescent="0.25">
      <c r="A6" s="4" t="s">
        <v>323</v>
      </c>
      <c r="B6" s="52">
        <f>IF(B2&lt;17.5,1,IF(B2&lt;25.5,2,IF(B2&lt;33.5,3)))</f>
        <v>1</v>
      </c>
      <c r="C6" s="177" t="s">
        <v>174</v>
      </c>
      <c r="D6" s="178"/>
      <c r="E6" s="178"/>
      <c r="F6" s="179"/>
      <c r="G6" s="22"/>
      <c r="H6" s="26">
        <v>0</v>
      </c>
      <c r="I6">
        <v>1</v>
      </c>
      <c r="J6" s="51" t="s">
        <v>270</v>
      </c>
      <c r="K6" s="26" t="str">
        <f t="shared" si="0"/>
        <v>0119-19</v>
      </c>
      <c r="L6" s="22">
        <v>47</v>
      </c>
      <c r="M6" s="26">
        <v>740</v>
      </c>
      <c r="N6">
        <v>5445</v>
      </c>
      <c r="Q6" s="65" t="s">
        <v>344</v>
      </c>
      <c r="R6" s="54" t="s">
        <v>332</v>
      </c>
    </row>
    <row r="7" spans="1:26" hidden="1" x14ac:dyDescent="0.25">
      <c r="A7" s="4" t="s">
        <v>325</v>
      </c>
      <c r="B7" s="52" t="str">
        <f>CONCATENATE(B3,B6,B5)</f>
        <v>15116-17</v>
      </c>
      <c r="C7" s="26"/>
      <c r="D7" s="26"/>
      <c r="E7" s="26"/>
      <c r="F7" s="26"/>
      <c r="G7" s="22"/>
      <c r="H7" s="26">
        <v>0</v>
      </c>
      <c r="I7">
        <v>1</v>
      </c>
      <c r="J7" s="51" t="s">
        <v>271</v>
      </c>
      <c r="K7" s="26" t="str">
        <f t="shared" si="0"/>
        <v>0120-21</v>
      </c>
      <c r="L7" s="22">
        <v>49.1</v>
      </c>
      <c r="M7" s="26">
        <v>740</v>
      </c>
      <c r="N7">
        <v>5778</v>
      </c>
      <c r="Q7" s="65" t="s">
        <v>345</v>
      </c>
      <c r="R7" s="54" t="s">
        <v>333</v>
      </c>
    </row>
    <row r="8" spans="1:26" x14ac:dyDescent="0.25">
      <c r="G8" s="22"/>
      <c r="H8" s="26">
        <v>0</v>
      </c>
      <c r="I8">
        <v>1</v>
      </c>
      <c r="J8" s="51" t="s">
        <v>272</v>
      </c>
      <c r="K8" s="26" t="str">
        <f t="shared" si="0"/>
        <v>0122-23</v>
      </c>
      <c r="L8" s="26">
        <v>51.3</v>
      </c>
      <c r="M8" s="26">
        <v>740</v>
      </c>
      <c r="N8">
        <v>6111</v>
      </c>
      <c r="Q8" s="65" t="s">
        <v>346</v>
      </c>
      <c r="R8" s="54" t="s">
        <v>334</v>
      </c>
    </row>
    <row r="9" spans="1:26" ht="15.75" x14ac:dyDescent="0.25">
      <c r="A9" s="7" t="s">
        <v>33</v>
      </c>
      <c r="B9" s="7" t="s">
        <v>31</v>
      </c>
      <c r="C9" s="7" t="s">
        <v>29</v>
      </c>
      <c r="D9" s="7" t="s">
        <v>34</v>
      </c>
      <c r="E9" s="7" t="s">
        <v>35</v>
      </c>
      <c r="G9" s="26"/>
      <c r="H9" s="26">
        <v>0</v>
      </c>
      <c r="I9">
        <v>1</v>
      </c>
      <c r="J9" s="51" t="s">
        <v>273</v>
      </c>
      <c r="K9" s="26" t="str">
        <f t="shared" si="0"/>
        <v>0124-25</v>
      </c>
      <c r="L9" s="26">
        <v>53.4</v>
      </c>
      <c r="M9" s="26">
        <v>740</v>
      </c>
      <c r="N9">
        <v>6444</v>
      </c>
      <c r="Q9" s="65" t="s">
        <v>347</v>
      </c>
      <c r="R9" s="54" t="s">
        <v>335</v>
      </c>
    </row>
    <row r="10" spans="1:26" x14ac:dyDescent="0.25">
      <c r="A10" s="4" t="s">
        <v>362</v>
      </c>
      <c r="B10" s="12">
        <f>VLOOKUP(B7,K2:N97,2,FALSE)</f>
        <v>44</v>
      </c>
      <c r="C10" s="28" t="s">
        <v>32</v>
      </c>
      <c r="D10" s="8">
        <v>1300</v>
      </c>
      <c r="E10" s="10">
        <f>D10*B10</f>
        <v>57200</v>
      </c>
      <c r="G10" s="26"/>
      <c r="H10" s="26">
        <v>0</v>
      </c>
      <c r="I10">
        <v>2</v>
      </c>
      <c r="J10" s="51" t="s">
        <v>266</v>
      </c>
      <c r="K10" s="26" t="str">
        <f t="shared" si="0"/>
        <v>0210-11</v>
      </c>
      <c r="L10" s="26">
        <v>52.2</v>
      </c>
      <c r="M10" s="26">
        <v>1055</v>
      </c>
      <c r="N10">
        <v>5973</v>
      </c>
      <c r="Q10" s="65" t="s">
        <v>348</v>
      </c>
      <c r="R10" s="54" t="s">
        <v>336</v>
      </c>
    </row>
    <row r="11" spans="1:26" x14ac:dyDescent="0.25">
      <c r="A11" s="4" t="s">
        <v>36</v>
      </c>
      <c r="B11" s="19">
        <f>VLOOKUP(B7,K2:N97,3,FALSE)</f>
        <v>792</v>
      </c>
      <c r="C11" s="28" t="s">
        <v>158</v>
      </c>
      <c r="D11" s="8">
        <v>2.1</v>
      </c>
      <c r="E11" s="10">
        <f>D11*B11</f>
        <v>1663.2</v>
      </c>
      <c r="G11" s="26"/>
      <c r="H11" s="26">
        <v>0</v>
      </c>
      <c r="I11">
        <v>2</v>
      </c>
      <c r="J11" s="51" t="s">
        <v>268</v>
      </c>
      <c r="K11" s="26" t="str">
        <f t="shared" si="0"/>
        <v>0212-13</v>
      </c>
      <c r="L11" s="26">
        <v>55.3</v>
      </c>
      <c r="M11" s="26">
        <v>1055</v>
      </c>
      <c r="N11">
        <v>6438</v>
      </c>
      <c r="Q11" s="65" t="s">
        <v>349</v>
      </c>
      <c r="R11" s="54" t="s">
        <v>337</v>
      </c>
    </row>
    <row r="12" spans="1:26" x14ac:dyDescent="0.25">
      <c r="A12" s="4" t="s">
        <v>275</v>
      </c>
      <c r="B12" s="4">
        <f>VLOOKUP(B7,K2:N97,4,FALSE)</f>
        <v>4998</v>
      </c>
      <c r="C12" s="28" t="s">
        <v>47</v>
      </c>
      <c r="D12" s="8">
        <v>2.1</v>
      </c>
      <c r="E12" s="10">
        <f>D12*B12</f>
        <v>10495.800000000001</v>
      </c>
      <c r="G12" s="26"/>
      <c r="H12" s="26">
        <v>0</v>
      </c>
      <c r="I12">
        <v>2</v>
      </c>
      <c r="J12" s="51" t="s">
        <v>267</v>
      </c>
      <c r="K12" s="26" t="str">
        <f t="shared" si="0"/>
        <v>0214-15</v>
      </c>
      <c r="L12" s="26">
        <v>58.3</v>
      </c>
      <c r="M12" s="26">
        <v>1055</v>
      </c>
      <c r="N12">
        <v>6902</v>
      </c>
      <c r="Q12" s="65" t="s">
        <v>350</v>
      </c>
      <c r="R12" s="54" t="s">
        <v>338</v>
      </c>
    </row>
    <row r="13" spans="1:26" ht="15" customHeight="1" x14ac:dyDescent="0.25">
      <c r="A13" s="4" t="s">
        <v>42</v>
      </c>
      <c r="B13" s="4">
        <v>1</v>
      </c>
      <c r="C13" s="28" t="s">
        <v>47</v>
      </c>
      <c r="D13" s="4">
        <v>40000</v>
      </c>
      <c r="E13" s="10">
        <f>D13*B13</f>
        <v>40000</v>
      </c>
      <c r="H13" s="26">
        <v>0</v>
      </c>
      <c r="I13">
        <v>2</v>
      </c>
      <c r="J13" s="51" t="s">
        <v>269</v>
      </c>
      <c r="K13" s="26" t="str">
        <f t="shared" si="0"/>
        <v>0216-17</v>
      </c>
      <c r="L13" s="26">
        <v>61.4</v>
      </c>
      <c r="M13" s="26">
        <v>1055</v>
      </c>
      <c r="N13">
        <v>7366</v>
      </c>
      <c r="Q13" s="65" t="s">
        <v>351</v>
      </c>
      <c r="R13" s="54" t="s">
        <v>339</v>
      </c>
    </row>
    <row r="14" spans="1:26" x14ac:dyDescent="0.25">
      <c r="A14" s="4" t="s">
        <v>147</v>
      </c>
      <c r="B14" s="4"/>
      <c r="C14" s="28" t="s">
        <v>76</v>
      </c>
      <c r="D14" s="8">
        <v>54.77</v>
      </c>
      <c r="E14" s="10">
        <f t="shared" ref="E14" si="1">D14*B14</f>
        <v>0</v>
      </c>
      <c r="H14" s="26">
        <v>0</v>
      </c>
      <c r="I14">
        <v>2</v>
      </c>
      <c r="J14" s="51" t="s">
        <v>270</v>
      </c>
      <c r="K14" s="26" t="str">
        <f t="shared" si="0"/>
        <v>0219-19</v>
      </c>
      <c r="L14" s="26">
        <v>64.400000000000006</v>
      </c>
      <c r="M14" s="26">
        <v>1055</v>
      </c>
      <c r="N14">
        <v>7830</v>
      </c>
    </row>
    <row r="15" spans="1:26" x14ac:dyDescent="0.25">
      <c r="A15" s="5" t="s">
        <v>48</v>
      </c>
      <c r="B15" s="112" t="s">
        <v>435</v>
      </c>
      <c r="C15" s="112" t="s">
        <v>435</v>
      </c>
      <c r="D15" s="112" t="s">
        <v>435</v>
      </c>
      <c r="E15" s="11">
        <f>SUM(E10:E13)</f>
        <v>109359</v>
      </c>
      <c r="H15" s="26">
        <v>0</v>
      </c>
      <c r="I15">
        <v>2</v>
      </c>
      <c r="J15" s="51" t="s">
        <v>271</v>
      </c>
      <c r="K15" s="26" t="str">
        <f t="shared" si="0"/>
        <v>0220-21</v>
      </c>
      <c r="L15" s="26">
        <v>67.5</v>
      </c>
      <c r="M15" s="26">
        <v>1055</v>
      </c>
      <c r="N15">
        <v>8295</v>
      </c>
    </row>
    <row r="16" spans="1:26" x14ac:dyDescent="0.25">
      <c r="A16" s="59" t="s">
        <v>277</v>
      </c>
      <c r="B16" s="53"/>
      <c r="C16" s="53"/>
      <c r="D16" s="53"/>
      <c r="E16" s="53"/>
      <c r="H16" s="26">
        <v>0</v>
      </c>
      <c r="I16">
        <v>2</v>
      </c>
      <c r="J16" s="51" t="s">
        <v>272</v>
      </c>
      <c r="K16" s="26" t="str">
        <f t="shared" si="0"/>
        <v>0222-23</v>
      </c>
      <c r="L16" s="26">
        <v>70.5</v>
      </c>
      <c r="M16" s="26">
        <v>1055</v>
      </c>
      <c r="N16">
        <v>8759</v>
      </c>
    </row>
    <row r="17" spans="1:14" x14ac:dyDescent="0.25">
      <c r="H17" s="26">
        <v>0</v>
      </c>
      <c r="I17">
        <v>2</v>
      </c>
      <c r="J17" s="51" t="s">
        <v>273</v>
      </c>
      <c r="K17" s="26" t="str">
        <f t="shared" si="0"/>
        <v>0224-25</v>
      </c>
      <c r="L17" s="26">
        <v>73.599999999999994</v>
      </c>
      <c r="M17" s="26">
        <v>1055</v>
      </c>
      <c r="N17">
        <v>9223</v>
      </c>
    </row>
    <row r="18" spans="1:14" x14ac:dyDescent="0.25">
      <c r="H18" s="26">
        <v>0</v>
      </c>
      <c r="I18">
        <v>3</v>
      </c>
      <c r="J18" s="51" t="s">
        <v>266</v>
      </c>
      <c r="K18" s="26" t="str">
        <f t="shared" si="0"/>
        <v>0310-11</v>
      </c>
      <c r="L18" s="26">
        <v>68.8</v>
      </c>
      <c r="M18" s="26">
        <v>1370</v>
      </c>
      <c r="N18">
        <v>8051</v>
      </c>
    </row>
    <row r="19" spans="1:14" ht="17.25" x14ac:dyDescent="0.3">
      <c r="A19" s="55" t="s">
        <v>278</v>
      </c>
      <c r="H19" s="26">
        <v>0</v>
      </c>
      <c r="I19">
        <v>3</v>
      </c>
      <c r="J19" s="51" t="s">
        <v>268</v>
      </c>
      <c r="K19" s="26" t="str">
        <f t="shared" si="0"/>
        <v>0312-13</v>
      </c>
      <c r="L19" s="26">
        <v>73</v>
      </c>
      <c r="M19" s="26">
        <v>1370</v>
      </c>
      <c r="N19">
        <v>8691</v>
      </c>
    </row>
    <row r="20" spans="1:14" ht="15.75" x14ac:dyDescent="0.25">
      <c r="A20" s="56" t="s">
        <v>283</v>
      </c>
      <c r="H20" s="26">
        <v>0</v>
      </c>
      <c r="I20">
        <v>3</v>
      </c>
      <c r="J20" s="51" t="s">
        <v>267</v>
      </c>
      <c r="K20" s="26" t="str">
        <f t="shared" si="0"/>
        <v>0314-15</v>
      </c>
      <c r="L20" s="26">
        <v>77.2</v>
      </c>
      <c r="M20" s="26">
        <v>1370</v>
      </c>
      <c r="N20">
        <v>9330</v>
      </c>
    </row>
    <row r="21" spans="1:14" x14ac:dyDescent="0.25">
      <c r="A21" t="str">
        <f>VLOOKUP(CONCATENATE(B3,B6),Q2:R13,2,FALSE)</f>
        <v>BSP-004 Standard Pier 15° Skew 16'-0"-17'-6" Bridge Width</v>
      </c>
      <c r="H21" s="26">
        <v>0</v>
      </c>
      <c r="I21">
        <v>3</v>
      </c>
      <c r="J21" s="51" t="s">
        <v>269</v>
      </c>
      <c r="K21" s="26" t="str">
        <f t="shared" si="0"/>
        <v>0316-17</v>
      </c>
      <c r="L21" s="26">
        <v>81.5</v>
      </c>
      <c r="M21" s="26">
        <v>1370</v>
      </c>
      <c r="N21">
        <v>9969</v>
      </c>
    </row>
    <row r="22" spans="1:14" x14ac:dyDescent="0.25">
      <c r="H22" s="26">
        <v>0</v>
      </c>
      <c r="I22">
        <v>3</v>
      </c>
      <c r="J22" s="51" t="s">
        <v>270</v>
      </c>
      <c r="K22" s="26" t="str">
        <f t="shared" si="0"/>
        <v>0319-19</v>
      </c>
      <c r="L22" s="26">
        <v>85.7</v>
      </c>
      <c r="M22" s="26">
        <v>1370</v>
      </c>
      <c r="N22">
        <v>10608</v>
      </c>
    </row>
    <row r="23" spans="1:14" x14ac:dyDescent="0.25">
      <c r="H23" s="26">
        <v>0</v>
      </c>
      <c r="I23">
        <v>3</v>
      </c>
      <c r="J23" s="51" t="s">
        <v>271</v>
      </c>
      <c r="K23" s="26" t="str">
        <f t="shared" si="0"/>
        <v>0320-21</v>
      </c>
      <c r="L23" s="26">
        <v>89.9</v>
      </c>
      <c r="M23" s="26">
        <v>1370</v>
      </c>
      <c r="N23">
        <v>11247</v>
      </c>
    </row>
    <row r="24" spans="1:14" x14ac:dyDescent="0.25">
      <c r="H24" s="26">
        <v>0</v>
      </c>
      <c r="I24">
        <v>3</v>
      </c>
      <c r="J24" s="51" t="s">
        <v>272</v>
      </c>
      <c r="K24" s="26" t="str">
        <f t="shared" si="0"/>
        <v>0322-23</v>
      </c>
      <c r="L24" s="26">
        <v>94.2</v>
      </c>
      <c r="M24" s="26">
        <v>1370</v>
      </c>
      <c r="N24">
        <v>11887</v>
      </c>
    </row>
    <row r="25" spans="1:14" x14ac:dyDescent="0.25">
      <c r="H25" s="26">
        <v>0</v>
      </c>
      <c r="I25">
        <v>3</v>
      </c>
      <c r="J25" s="51" t="s">
        <v>273</v>
      </c>
      <c r="K25" s="26" t="str">
        <f t="shared" si="0"/>
        <v>0324-25</v>
      </c>
      <c r="L25" s="26">
        <v>94.4</v>
      </c>
      <c r="M25" s="26">
        <v>1370</v>
      </c>
      <c r="N25">
        <v>12526</v>
      </c>
    </row>
    <row r="26" spans="1:14" x14ac:dyDescent="0.25">
      <c r="H26" s="26">
        <v>15</v>
      </c>
      <c r="I26">
        <v>1</v>
      </c>
      <c r="J26" s="51" t="s">
        <v>266</v>
      </c>
      <c r="K26" s="26" t="str">
        <f t="shared" si="0"/>
        <v>15110-11</v>
      </c>
      <c r="L26" s="26">
        <v>37.5</v>
      </c>
      <c r="M26" s="26">
        <v>792</v>
      </c>
      <c r="N26">
        <v>3998</v>
      </c>
    </row>
    <row r="27" spans="1:14" x14ac:dyDescent="0.25">
      <c r="H27" s="26">
        <v>15</v>
      </c>
      <c r="I27">
        <v>1</v>
      </c>
      <c r="J27" s="51" t="s">
        <v>268</v>
      </c>
      <c r="K27" s="26" t="str">
        <f t="shared" si="0"/>
        <v>15112-13</v>
      </c>
      <c r="L27" s="26">
        <v>39.700000000000003</v>
      </c>
      <c r="M27" s="26">
        <v>792</v>
      </c>
      <c r="N27">
        <v>4331</v>
      </c>
    </row>
    <row r="28" spans="1:14" x14ac:dyDescent="0.25">
      <c r="H28" s="26">
        <v>15</v>
      </c>
      <c r="I28">
        <v>1</v>
      </c>
      <c r="J28" s="51" t="s">
        <v>267</v>
      </c>
      <c r="K28" s="26" t="str">
        <f t="shared" si="0"/>
        <v>15114-15</v>
      </c>
      <c r="L28" s="26">
        <v>41.8</v>
      </c>
      <c r="M28" s="26">
        <v>792</v>
      </c>
      <c r="N28">
        <v>4665</v>
      </c>
    </row>
    <row r="29" spans="1:14" x14ac:dyDescent="0.25">
      <c r="H29" s="26">
        <v>15</v>
      </c>
      <c r="I29">
        <v>1</v>
      </c>
      <c r="J29" s="51" t="s">
        <v>269</v>
      </c>
      <c r="K29" s="26" t="str">
        <f t="shared" si="0"/>
        <v>15116-17</v>
      </c>
      <c r="L29" s="26">
        <v>44</v>
      </c>
      <c r="M29" s="26">
        <v>792</v>
      </c>
      <c r="N29">
        <v>4998</v>
      </c>
    </row>
    <row r="30" spans="1:14" x14ac:dyDescent="0.25">
      <c r="H30" s="26">
        <v>15</v>
      </c>
      <c r="I30">
        <v>1</v>
      </c>
      <c r="J30" s="51" t="s">
        <v>270</v>
      </c>
      <c r="K30" s="26" t="str">
        <f t="shared" si="0"/>
        <v>15119-19</v>
      </c>
      <c r="L30" s="26">
        <v>46.2</v>
      </c>
      <c r="M30" s="26">
        <v>792</v>
      </c>
      <c r="N30">
        <v>5331</v>
      </c>
    </row>
    <row r="31" spans="1:14" x14ac:dyDescent="0.25">
      <c r="H31" s="26">
        <v>15</v>
      </c>
      <c r="I31">
        <v>1</v>
      </c>
      <c r="J31" s="51" t="s">
        <v>271</v>
      </c>
      <c r="K31" s="26" t="str">
        <f t="shared" si="0"/>
        <v>15120-21</v>
      </c>
      <c r="L31" s="26">
        <v>48.3</v>
      </c>
      <c r="M31" s="26">
        <v>792</v>
      </c>
      <c r="N31">
        <v>5664</v>
      </c>
    </row>
    <row r="32" spans="1:14" x14ac:dyDescent="0.25">
      <c r="H32" s="26">
        <v>15</v>
      </c>
      <c r="I32">
        <v>1</v>
      </c>
      <c r="J32" s="51" t="s">
        <v>272</v>
      </c>
      <c r="K32" s="26" t="str">
        <f t="shared" si="0"/>
        <v>15122-23</v>
      </c>
      <c r="L32" s="26">
        <v>50.5</v>
      </c>
      <c r="M32" s="26">
        <v>792</v>
      </c>
      <c r="N32">
        <v>5997</v>
      </c>
    </row>
    <row r="33" spans="8:14" x14ac:dyDescent="0.25">
      <c r="H33" s="26">
        <v>15</v>
      </c>
      <c r="I33">
        <v>1</v>
      </c>
      <c r="J33" s="51" t="s">
        <v>273</v>
      </c>
      <c r="K33" s="26" t="str">
        <f t="shared" si="0"/>
        <v>15124-25</v>
      </c>
      <c r="L33" s="26">
        <v>52.6</v>
      </c>
      <c r="M33" s="26">
        <v>792</v>
      </c>
      <c r="N33">
        <v>6330</v>
      </c>
    </row>
    <row r="34" spans="8:14" x14ac:dyDescent="0.25">
      <c r="H34" s="26">
        <v>15</v>
      </c>
      <c r="I34">
        <v>2</v>
      </c>
      <c r="J34" s="51" t="s">
        <v>266</v>
      </c>
      <c r="K34" s="26" t="str">
        <f t="shared" si="0"/>
        <v>15210-11</v>
      </c>
      <c r="L34" s="26">
        <v>55.9</v>
      </c>
      <c r="M34" s="26">
        <v>1107</v>
      </c>
      <c r="N34">
        <v>6060</v>
      </c>
    </row>
    <row r="35" spans="8:14" x14ac:dyDescent="0.25">
      <c r="H35" s="26">
        <v>15</v>
      </c>
      <c r="I35">
        <v>2</v>
      </c>
      <c r="J35" s="51" t="s">
        <v>268</v>
      </c>
      <c r="K35" s="26" t="str">
        <f t="shared" si="0"/>
        <v>15212-13</v>
      </c>
      <c r="L35" s="26">
        <v>59.2</v>
      </c>
      <c r="M35" s="26">
        <v>1107</v>
      </c>
      <c r="N35">
        <v>6555</v>
      </c>
    </row>
    <row r="36" spans="8:14" x14ac:dyDescent="0.25">
      <c r="H36" s="26">
        <v>15</v>
      </c>
      <c r="I36">
        <v>2</v>
      </c>
      <c r="J36" s="51" t="s">
        <v>267</v>
      </c>
      <c r="K36" s="26" t="str">
        <f t="shared" si="0"/>
        <v>15214-15</v>
      </c>
      <c r="L36" s="26">
        <v>62.5</v>
      </c>
      <c r="M36" s="26">
        <v>1107</v>
      </c>
      <c r="N36">
        <v>7051</v>
      </c>
    </row>
    <row r="37" spans="8:14" x14ac:dyDescent="0.25">
      <c r="H37" s="26">
        <v>15</v>
      </c>
      <c r="I37">
        <v>2</v>
      </c>
      <c r="J37" s="51" t="s">
        <v>269</v>
      </c>
      <c r="K37" s="26" t="str">
        <f t="shared" si="0"/>
        <v>15216-17</v>
      </c>
      <c r="L37" s="26">
        <v>65.7</v>
      </c>
      <c r="M37" s="26">
        <v>1107</v>
      </c>
      <c r="N37">
        <v>7546</v>
      </c>
    </row>
    <row r="38" spans="8:14" x14ac:dyDescent="0.25">
      <c r="H38" s="26">
        <v>15</v>
      </c>
      <c r="I38">
        <v>2</v>
      </c>
      <c r="J38" s="51" t="s">
        <v>270</v>
      </c>
      <c r="K38" s="26" t="str">
        <f t="shared" si="0"/>
        <v>15219-19</v>
      </c>
      <c r="L38" s="26">
        <v>69</v>
      </c>
      <c r="M38" s="26">
        <v>1107</v>
      </c>
      <c r="N38">
        <v>8041</v>
      </c>
    </row>
    <row r="39" spans="8:14" x14ac:dyDescent="0.25">
      <c r="H39" s="26">
        <v>15</v>
      </c>
      <c r="I39">
        <v>2</v>
      </c>
      <c r="J39" s="51" t="s">
        <v>271</v>
      </c>
      <c r="K39" s="26" t="str">
        <f t="shared" si="0"/>
        <v>15220-21</v>
      </c>
      <c r="L39" s="26">
        <v>72.3</v>
      </c>
      <c r="M39" s="26">
        <v>1107</v>
      </c>
      <c r="N39">
        <v>8536</v>
      </c>
    </row>
    <row r="40" spans="8:14" x14ac:dyDescent="0.25">
      <c r="H40" s="26">
        <v>15</v>
      </c>
      <c r="I40">
        <v>2</v>
      </c>
      <c r="J40" s="51" t="s">
        <v>272</v>
      </c>
      <c r="K40" s="26" t="str">
        <f t="shared" si="0"/>
        <v>15222-23</v>
      </c>
      <c r="L40" s="26">
        <v>75.5</v>
      </c>
      <c r="M40" s="26">
        <v>1107</v>
      </c>
      <c r="N40">
        <v>9031</v>
      </c>
    </row>
    <row r="41" spans="8:14" x14ac:dyDescent="0.25">
      <c r="H41" s="26">
        <v>15</v>
      </c>
      <c r="I41">
        <v>2</v>
      </c>
      <c r="J41" s="51" t="s">
        <v>273</v>
      </c>
      <c r="K41" s="26" t="str">
        <f t="shared" si="0"/>
        <v>15224-25</v>
      </c>
      <c r="L41" s="26">
        <v>78.8</v>
      </c>
      <c r="M41" s="26">
        <v>1107</v>
      </c>
      <c r="N41">
        <v>9527</v>
      </c>
    </row>
    <row r="42" spans="8:14" x14ac:dyDescent="0.25">
      <c r="H42" s="26">
        <v>15</v>
      </c>
      <c r="I42">
        <v>3</v>
      </c>
      <c r="J42" s="51" t="s">
        <v>266</v>
      </c>
      <c r="K42" s="26" t="str">
        <f t="shared" si="0"/>
        <v>15310-11</v>
      </c>
      <c r="L42" s="26">
        <v>72.900000000000006</v>
      </c>
      <c r="M42" s="26">
        <v>1449</v>
      </c>
      <c r="N42">
        <v>8570</v>
      </c>
    </row>
    <row r="43" spans="8:14" x14ac:dyDescent="0.25">
      <c r="H43" s="26">
        <v>15</v>
      </c>
      <c r="I43">
        <v>3</v>
      </c>
      <c r="J43" s="51" t="s">
        <v>268</v>
      </c>
      <c r="K43" s="26" t="str">
        <f t="shared" si="0"/>
        <v>15312-13</v>
      </c>
      <c r="L43" s="26">
        <v>77.400000000000006</v>
      </c>
      <c r="M43" s="26">
        <v>1449</v>
      </c>
      <c r="N43">
        <v>9253</v>
      </c>
    </row>
    <row r="44" spans="8:14" x14ac:dyDescent="0.25">
      <c r="H44" s="26">
        <v>15</v>
      </c>
      <c r="I44">
        <v>3</v>
      </c>
      <c r="J44" s="51" t="s">
        <v>267</v>
      </c>
      <c r="K44" s="26" t="str">
        <f t="shared" si="0"/>
        <v>15314-15</v>
      </c>
      <c r="L44" s="26">
        <v>82</v>
      </c>
      <c r="M44" s="26">
        <v>1449</v>
      </c>
      <c r="N44">
        <v>9936</v>
      </c>
    </row>
    <row r="45" spans="8:14" x14ac:dyDescent="0.25">
      <c r="H45" s="26">
        <v>15</v>
      </c>
      <c r="I45">
        <v>3</v>
      </c>
      <c r="J45" s="51" t="s">
        <v>269</v>
      </c>
      <c r="K45" s="26" t="str">
        <f t="shared" si="0"/>
        <v>15316-17</v>
      </c>
      <c r="L45" s="26">
        <v>86.5</v>
      </c>
      <c r="M45" s="26">
        <v>1449</v>
      </c>
      <c r="N45">
        <v>10619</v>
      </c>
    </row>
    <row r="46" spans="8:14" x14ac:dyDescent="0.25">
      <c r="H46" s="26">
        <v>15</v>
      </c>
      <c r="I46">
        <v>3</v>
      </c>
      <c r="J46" s="51" t="s">
        <v>270</v>
      </c>
      <c r="K46" s="26" t="str">
        <f t="shared" si="0"/>
        <v>15319-19</v>
      </c>
      <c r="L46" s="26">
        <v>91</v>
      </c>
      <c r="M46" s="26">
        <v>1449</v>
      </c>
      <c r="N46">
        <v>11302</v>
      </c>
    </row>
    <row r="47" spans="8:14" x14ac:dyDescent="0.25">
      <c r="H47" s="26">
        <v>15</v>
      </c>
      <c r="I47">
        <v>3</v>
      </c>
      <c r="J47" s="51" t="s">
        <v>271</v>
      </c>
      <c r="K47" s="26" t="str">
        <f t="shared" si="0"/>
        <v>15320-21</v>
      </c>
      <c r="L47" s="26">
        <v>95.5</v>
      </c>
      <c r="M47" s="26">
        <v>1449</v>
      </c>
      <c r="N47">
        <v>11985</v>
      </c>
    </row>
    <row r="48" spans="8:14" x14ac:dyDescent="0.25">
      <c r="H48" s="26">
        <v>15</v>
      </c>
      <c r="I48">
        <v>3</v>
      </c>
      <c r="J48" s="51" t="s">
        <v>272</v>
      </c>
      <c r="K48" s="26" t="str">
        <f t="shared" si="0"/>
        <v>15322-23</v>
      </c>
      <c r="L48" s="26">
        <v>100.1</v>
      </c>
      <c r="M48" s="26">
        <v>1449</v>
      </c>
      <c r="N48">
        <v>12668</v>
      </c>
    </row>
    <row r="49" spans="8:14" x14ac:dyDescent="0.25">
      <c r="H49" s="26">
        <v>15</v>
      </c>
      <c r="I49">
        <v>3</v>
      </c>
      <c r="J49" s="51" t="s">
        <v>273</v>
      </c>
      <c r="K49" s="26" t="str">
        <f t="shared" si="0"/>
        <v>15324-25</v>
      </c>
      <c r="L49" s="26">
        <v>104.6</v>
      </c>
      <c r="M49" s="26">
        <v>1449</v>
      </c>
      <c r="N49">
        <v>13351</v>
      </c>
    </row>
    <row r="50" spans="8:14" x14ac:dyDescent="0.25">
      <c r="H50" s="26">
        <v>30</v>
      </c>
      <c r="I50">
        <v>1</v>
      </c>
      <c r="J50" s="51" t="s">
        <v>266</v>
      </c>
      <c r="K50" s="26" t="str">
        <f t="shared" si="0"/>
        <v>30110-11</v>
      </c>
      <c r="L50" s="26">
        <v>42.2</v>
      </c>
      <c r="M50" s="26">
        <v>937</v>
      </c>
      <c r="N50">
        <v>4489</v>
      </c>
    </row>
    <row r="51" spans="8:14" x14ac:dyDescent="0.25">
      <c r="H51" s="26">
        <v>30</v>
      </c>
      <c r="I51">
        <v>1</v>
      </c>
      <c r="J51" s="51" t="s">
        <v>268</v>
      </c>
      <c r="K51" s="26" t="str">
        <f t="shared" si="0"/>
        <v>30112-13</v>
      </c>
      <c r="L51" s="26">
        <v>44.7</v>
      </c>
      <c r="M51" s="26">
        <v>937</v>
      </c>
      <c r="N51">
        <v>4866</v>
      </c>
    </row>
    <row r="52" spans="8:14" x14ac:dyDescent="0.25">
      <c r="H52" s="26">
        <v>30</v>
      </c>
      <c r="I52">
        <v>1</v>
      </c>
      <c r="J52" s="51" t="s">
        <v>267</v>
      </c>
      <c r="K52" s="26" t="str">
        <f t="shared" si="0"/>
        <v>30114-15</v>
      </c>
      <c r="L52" s="26">
        <v>47.1</v>
      </c>
      <c r="M52" s="26">
        <v>937</v>
      </c>
      <c r="N52">
        <v>5242</v>
      </c>
    </row>
    <row r="53" spans="8:14" x14ac:dyDescent="0.25">
      <c r="H53" s="26">
        <v>30</v>
      </c>
      <c r="I53">
        <v>1</v>
      </c>
      <c r="J53" s="51" t="s">
        <v>269</v>
      </c>
      <c r="K53" s="26" t="str">
        <f t="shared" si="0"/>
        <v>30116-17</v>
      </c>
      <c r="L53" s="26">
        <v>49.6</v>
      </c>
      <c r="M53" s="26">
        <v>937</v>
      </c>
      <c r="N53">
        <v>5619</v>
      </c>
    </row>
    <row r="54" spans="8:14" x14ac:dyDescent="0.25">
      <c r="H54" s="26">
        <v>30</v>
      </c>
      <c r="I54">
        <v>1</v>
      </c>
      <c r="J54" s="51" t="s">
        <v>270</v>
      </c>
      <c r="K54" s="26" t="str">
        <f t="shared" si="0"/>
        <v>30119-19</v>
      </c>
      <c r="L54" s="26">
        <v>52.1</v>
      </c>
      <c r="M54" s="26">
        <v>937</v>
      </c>
      <c r="N54">
        <v>5996</v>
      </c>
    </row>
    <row r="55" spans="8:14" x14ac:dyDescent="0.25">
      <c r="H55" s="26">
        <v>30</v>
      </c>
      <c r="I55">
        <v>1</v>
      </c>
      <c r="J55" s="51" t="s">
        <v>271</v>
      </c>
      <c r="K55" s="26" t="str">
        <f t="shared" si="0"/>
        <v>30120-21</v>
      </c>
      <c r="L55" s="26">
        <v>54.5</v>
      </c>
      <c r="M55" s="26">
        <v>937</v>
      </c>
      <c r="N55">
        <v>6373</v>
      </c>
    </row>
    <row r="56" spans="8:14" x14ac:dyDescent="0.25">
      <c r="H56" s="26">
        <v>30</v>
      </c>
      <c r="I56">
        <v>1</v>
      </c>
      <c r="J56" s="51" t="s">
        <v>272</v>
      </c>
      <c r="K56" s="26" t="str">
        <f t="shared" si="0"/>
        <v>30122-23</v>
      </c>
      <c r="L56" s="26">
        <v>57</v>
      </c>
      <c r="M56" s="26">
        <v>937</v>
      </c>
      <c r="N56">
        <v>6750</v>
      </c>
    </row>
    <row r="57" spans="8:14" x14ac:dyDescent="0.25">
      <c r="H57" s="26">
        <v>30</v>
      </c>
      <c r="I57">
        <v>1</v>
      </c>
      <c r="J57" s="51" t="s">
        <v>273</v>
      </c>
      <c r="K57" s="26" t="str">
        <f t="shared" si="0"/>
        <v>30124-25</v>
      </c>
      <c r="L57" s="26">
        <v>59.4</v>
      </c>
      <c r="M57" s="26">
        <v>937</v>
      </c>
      <c r="N57">
        <v>7126</v>
      </c>
    </row>
    <row r="58" spans="8:14" x14ac:dyDescent="0.25">
      <c r="H58" s="26">
        <v>30</v>
      </c>
      <c r="I58">
        <v>2</v>
      </c>
      <c r="J58" s="51" t="s">
        <v>266</v>
      </c>
      <c r="K58" s="26" t="str">
        <f t="shared" si="0"/>
        <v>30210-11</v>
      </c>
      <c r="L58" s="26">
        <v>63</v>
      </c>
      <c r="M58" s="26">
        <v>1291</v>
      </c>
      <c r="N58">
        <v>7298</v>
      </c>
    </row>
    <row r="59" spans="8:14" x14ac:dyDescent="0.25">
      <c r="H59" s="26">
        <v>30</v>
      </c>
      <c r="I59">
        <v>2</v>
      </c>
      <c r="J59" s="51" t="s">
        <v>268</v>
      </c>
      <c r="K59" s="26" t="str">
        <f t="shared" si="0"/>
        <v>30212-13</v>
      </c>
      <c r="L59" s="26">
        <v>66.8</v>
      </c>
      <c r="M59" s="26">
        <v>1291</v>
      </c>
      <c r="N59">
        <v>7878</v>
      </c>
    </row>
    <row r="60" spans="8:14" x14ac:dyDescent="0.25">
      <c r="H60" s="26">
        <v>30</v>
      </c>
      <c r="I60">
        <v>2</v>
      </c>
      <c r="J60" s="51" t="s">
        <v>267</v>
      </c>
      <c r="K60" s="26" t="str">
        <f t="shared" si="0"/>
        <v>30214-15</v>
      </c>
      <c r="L60" s="26">
        <v>70.5</v>
      </c>
      <c r="M60" s="26">
        <v>1291</v>
      </c>
      <c r="N60">
        <v>8459</v>
      </c>
    </row>
    <row r="61" spans="8:14" x14ac:dyDescent="0.25">
      <c r="H61" s="26">
        <v>30</v>
      </c>
      <c r="I61">
        <v>2</v>
      </c>
      <c r="J61" s="51" t="s">
        <v>269</v>
      </c>
      <c r="K61" s="26" t="str">
        <f t="shared" si="0"/>
        <v>30216-17</v>
      </c>
      <c r="L61" s="26">
        <v>74.3</v>
      </c>
      <c r="M61" s="26">
        <v>1291</v>
      </c>
      <c r="N61">
        <v>9039</v>
      </c>
    </row>
    <row r="62" spans="8:14" x14ac:dyDescent="0.25">
      <c r="H62" s="26">
        <v>30</v>
      </c>
      <c r="I62">
        <v>2</v>
      </c>
      <c r="J62" s="51" t="s">
        <v>270</v>
      </c>
      <c r="K62" s="26" t="str">
        <f t="shared" si="0"/>
        <v>30219-19</v>
      </c>
      <c r="L62" s="26">
        <v>78.099999999999994</v>
      </c>
      <c r="M62" s="26">
        <v>1291</v>
      </c>
      <c r="N62">
        <v>9620</v>
      </c>
    </row>
    <row r="63" spans="8:14" x14ac:dyDescent="0.25">
      <c r="H63" s="26">
        <v>30</v>
      </c>
      <c r="I63">
        <v>2</v>
      </c>
      <c r="J63" s="51" t="s">
        <v>271</v>
      </c>
      <c r="K63" s="26" t="str">
        <f t="shared" si="0"/>
        <v>30220-21</v>
      </c>
      <c r="L63" s="26">
        <v>81.900000000000006</v>
      </c>
      <c r="M63" s="26">
        <v>1291</v>
      </c>
      <c r="N63">
        <v>10200</v>
      </c>
    </row>
    <row r="64" spans="8:14" x14ac:dyDescent="0.25">
      <c r="H64" s="26">
        <v>30</v>
      </c>
      <c r="I64">
        <v>2</v>
      </c>
      <c r="J64" s="51" t="s">
        <v>272</v>
      </c>
      <c r="K64" s="26" t="str">
        <f t="shared" si="0"/>
        <v>30222-23</v>
      </c>
      <c r="L64" s="26">
        <v>85.7</v>
      </c>
      <c r="M64" s="26">
        <v>1291</v>
      </c>
      <c r="N64">
        <v>10781</v>
      </c>
    </row>
    <row r="65" spans="8:14" x14ac:dyDescent="0.25">
      <c r="H65" s="26">
        <v>30</v>
      </c>
      <c r="I65">
        <v>2</v>
      </c>
      <c r="J65" s="51" t="s">
        <v>273</v>
      </c>
      <c r="K65" s="26" t="str">
        <f t="shared" si="0"/>
        <v>30224-25</v>
      </c>
      <c r="L65" s="26">
        <v>89.5</v>
      </c>
      <c r="M65" s="26">
        <v>1291</v>
      </c>
      <c r="N65">
        <v>11362</v>
      </c>
    </row>
    <row r="66" spans="8:14" x14ac:dyDescent="0.25">
      <c r="H66" s="26">
        <v>30</v>
      </c>
      <c r="I66">
        <v>3</v>
      </c>
      <c r="J66" s="51" t="s">
        <v>266</v>
      </c>
      <c r="K66" s="26" t="str">
        <f t="shared" si="0"/>
        <v>30310-11</v>
      </c>
      <c r="L66" s="26">
        <v>82</v>
      </c>
      <c r="M66" s="26">
        <v>1658</v>
      </c>
      <c r="N66">
        <v>9707</v>
      </c>
    </row>
    <row r="67" spans="8:14" x14ac:dyDescent="0.25">
      <c r="H67" s="26">
        <v>30</v>
      </c>
      <c r="I67">
        <v>3</v>
      </c>
      <c r="J67" s="51" t="s">
        <v>268</v>
      </c>
      <c r="K67" s="26" t="str">
        <f t="shared" ref="K67:K97" si="2">CONCATENATE(H67,I67,J67)</f>
        <v>30312-13</v>
      </c>
      <c r="L67" s="26">
        <v>87.5</v>
      </c>
      <c r="M67" s="26">
        <v>1658</v>
      </c>
      <c r="N67">
        <v>10487</v>
      </c>
    </row>
    <row r="68" spans="8:14" x14ac:dyDescent="0.25">
      <c r="H68" s="26">
        <v>30</v>
      </c>
      <c r="I68">
        <v>3</v>
      </c>
      <c r="J68" s="51" t="s">
        <v>267</v>
      </c>
      <c r="K68" s="26" t="str">
        <f t="shared" si="2"/>
        <v>30314-15</v>
      </c>
      <c r="L68" s="26">
        <v>92.4</v>
      </c>
      <c r="M68" s="26">
        <v>1658</v>
      </c>
      <c r="N68">
        <v>11271</v>
      </c>
    </row>
    <row r="69" spans="8:14" x14ac:dyDescent="0.25">
      <c r="H69" s="26">
        <v>30</v>
      </c>
      <c r="I69">
        <v>3</v>
      </c>
      <c r="J69" s="51" t="s">
        <v>269</v>
      </c>
      <c r="K69" s="26" t="str">
        <f t="shared" si="2"/>
        <v>30316-17</v>
      </c>
      <c r="L69" s="26">
        <v>97.6</v>
      </c>
      <c r="M69" s="26">
        <v>1658</v>
      </c>
      <c r="N69">
        <v>12054</v>
      </c>
    </row>
    <row r="70" spans="8:14" x14ac:dyDescent="0.25">
      <c r="H70" s="26">
        <v>30</v>
      </c>
      <c r="I70">
        <v>3</v>
      </c>
      <c r="J70" s="51" t="s">
        <v>270</v>
      </c>
      <c r="K70" s="26" t="str">
        <f t="shared" si="2"/>
        <v>30319-19</v>
      </c>
      <c r="L70" s="26">
        <v>102.8</v>
      </c>
      <c r="M70" s="26">
        <v>1658</v>
      </c>
      <c r="N70">
        <v>12837</v>
      </c>
    </row>
    <row r="71" spans="8:14" x14ac:dyDescent="0.25">
      <c r="H71" s="26">
        <v>30</v>
      </c>
      <c r="I71">
        <v>3</v>
      </c>
      <c r="J71" s="51" t="s">
        <v>271</v>
      </c>
      <c r="K71" s="26" t="str">
        <f t="shared" si="2"/>
        <v>30320-21</v>
      </c>
      <c r="L71" s="26">
        <v>108</v>
      </c>
      <c r="M71" s="26">
        <v>1658</v>
      </c>
      <c r="N71">
        <v>13620</v>
      </c>
    </row>
    <row r="72" spans="8:14" x14ac:dyDescent="0.25">
      <c r="H72" s="26">
        <v>30</v>
      </c>
      <c r="I72">
        <v>3</v>
      </c>
      <c r="J72" s="51" t="s">
        <v>272</v>
      </c>
      <c r="K72" s="26" t="str">
        <f t="shared" si="2"/>
        <v>30322-23</v>
      </c>
      <c r="L72" s="26">
        <v>113.2</v>
      </c>
      <c r="M72" s="26">
        <v>1658</v>
      </c>
      <c r="N72">
        <v>14404</v>
      </c>
    </row>
    <row r="73" spans="8:14" x14ac:dyDescent="0.25">
      <c r="H73" s="26">
        <v>30</v>
      </c>
      <c r="I73">
        <v>3</v>
      </c>
      <c r="J73" s="51" t="s">
        <v>273</v>
      </c>
      <c r="K73" s="26" t="str">
        <f t="shared" si="2"/>
        <v>30324-25</v>
      </c>
      <c r="L73" s="26">
        <v>118.4</v>
      </c>
      <c r="M73" s="26">
        <v>1658</v>
      </c>
      <c r="N73">
        <v>15187</v>
      </c>
    </row>
    <row r="74" spans="8:14" x14ac:dyDescent="0.25">
      <c r="H74" s="26">
        <v>45</v>
      </c>
      <c r="I74">
        <v>1</v>
      </c>
      <c r="J74" s="51" t="s">
        <v>266</v>
      </c>
      <c r="K74" s="26" t="str">
        <f t="shared" si="2"/>
        <v>45110-11</v>
      </c>
      <c r="L74" s="26">
        <v>49.1</v>
      </c>
      <c r="M74" s="26">
        <v>1146</v>
      </c>
      <c r="N74">
        <v>5362</v>
      </c>
    </row>
    <row r="75" spans="8:14" x14ac:dyDescent="0.25">
      <c r="H75" s="26">
        <v>45</v>
      </c>
      <c r="I75">
        <v>1</v>
      </c>
      <c r="J75" s="51" t="s">
        <v>268</v>
      </c>
      <c r="K75" s="26" t="str">
        <f t="shared" si="2"/>
        <v>45112-13</v>
      </c>
      <c r="L75" s="26">
        <v>52.2</v>
      </c>
      <c r="M75" s="26">
        <v>1146</v>
      </c>
      <c r="N75">
        <v>5839</v>
      </c>
    </row>
    <row r="76" spans="8:14" x14ac:dyDescent="0.25">
      <c r="H76" s="26">
        <v>45</v>
      </c>
      <c r="I76">
        <v>1</v>
      </c>
      <c r="J76" s="51" t="s">
        <v>267</v>
      </c>
      <c r="K76" s="26" t="str">
        <f t="shared" si="2"/>
        <v>45114-15</v>
      </c>
      <c r="L76" s="26">
        <v>55.3</v>
      </c>
      <c r="M76" s="26">
        <v>1146</v>
      </c>
      <c r="N76">
        <v>6317</v>
      </c>
    </row>
    <row r="77" spans="8:14" x14ac:dyDescent="0.25">
      <c r="H77" s="26">
        <v>45</v>
      </c>
      <c r="I77">
        <v>1</v>
      </c>
      <c r="J77" s="51" t="s">
        <v>269</v>
      </c>
      <c r="K77" s="26" t="str">
        <f t="shared" si="2"/>
        <v>45116-17</v>
      </c>
      <c r="L77" s="26">
        <v>58.5</v>
      </c>
      <c r="M77" s="26">
        <v>1146</v>
      </c>
      <c r="N77">
        <v>6794</v>
      </c>
    </row>
    <row r="78" spans="8:14" x14ac:dyDescent="0.25">
      <c r="H78" s="26">
        <v>45</v>
      </c>
      <c r="I78">
        <v>1</v>
      </c>
      <c r="J78" s="51" t="s">
        <v>270</v>
      </c>
      <c r="K78" s="26" t="str">
        <f t="shared" si="2"/>
        <v>45119-19</v>
      </c>
      <c r="L78" s="26">
        <v>61.6</v>
      </c>
      <c r="M78" s="26">
        <v>1146</v>
      </c>
      <c r="N78">
        <v>7271</v>
      </c>
    </row>
    <row r="79" spans="8:14" x14ac:dyDescent="0.25">
      <c r="H79" s="26">
        <v>45</v>
      </c>
      <c r="I79">
        <v>1</v>
      </c>
      <c r="J79" s="51" t="s">
        <v>271</v>
      </c>
      <c r="K79" s="26" t="str">
        <f t="shared" si="2"/>
        <v>45120-21</v>
      </c>
      <c r="L79" s="26">
        <v>64.7</v>
      </c>
      <c r="M79" s="26">
        <v>1146</v>
      </c>
      <c r="N79">
        <v>7748</v>
      </c>
    </row>
    <row r="80" spans="8:14" x14ac:dyDescent="0.25">
      <c r="H80" s="26">
        <v>45</v>
      </c>
      <c r="I80">
        <v>1</v>
      </c>
      <c r="J80" s="51" t="s">
        <v>272</v>
      </c>
      <c r="K80" s="26" t="str">
        <f t="shared" si="2"/>
        <v>45122-23</v>
      </c>
      <c r="L80" s="26">
        <v>67.8</v>
      </c>
      <c r="M80" s="26">
        <v>1146</v>
      </c>
      <c r="N80">
        <v>8225</v>
      </c>
    </row>
    <row r="81" spans="8:14" x14ac:dyDescent="0.25">
      <c r="H81" s="26">
        <v>45</v>
      </c>
      <c r="I81">
        <v>1</v>
      </c>
      <c r="J81" s="51" t="s">
        <v>273</v>
      </c>
      <c r="K81" s="26" t="str">
        <f t="shared" si="2"/>
        <v>45124-25</v>
      </c>
      <c r="L81" s="26">
        <v>70.900000000000006</v>
      </c>
      <c r="M81" s="26">
        <v>1146</v>
      </c>
      <c r="N81">
        <v>8692</v>
      </c>
    </row>
    <row r="82" spans="8:14" x14ac:dyDescent="0.25">
      <c r="H82" s="26">
        <v>45</v>
      </c>
      <c r="I82">
        <v>2</v>
      </c>
      <c r="J82" s="51" t="s">
        <v>266</v>
      </c>
      <c r="K82" s="26" t="str">
        <f t="shared" si="2"/>
        <v>45210-11</v>
      </c>
      <c r="L82" s="26">
        <v>74.400000000000006</v>
      </c>
      <c r="M82" s="26">
        <v>1580</v>
      </c>
      <c r="N82">
        <v>9329</v>
      </c>
    </row>
    <row r="83" spans="8:14" x14ac:dyDescent="0.25">
      <c r="H83" s="26">
        <v>45</v>
      </c>
      <c r="I83">
        <v>2</v>
      </c>
      <c r="J83" s="51" t="s">
        <v>268</v>
      </c>
      <c r="K83" s="26" t="str">
        <f t="shared" si="2"/>
        <v>45212-13</v>
      </c>
      <c r="L83" s="26">
        <v>79.2</v>
      </c>
      <c r="M83" s="26">
        <v>1580</v>
      </c>
      <c r="N83">
        <v>9049</v>
      </c>
    </row>
    <row r="84" spans="8:14" x14ac:dyDescent="0.25">
      <c r="H84" s="26">
        <v>45</v>
      </c>
      <c r="I84">
        <v>2</v>
      </c>
      <c r="J84" s="51" t="s">
        <v>267</v>
      </c>
      <c r="K84" s="26" t="str">
        <f t="shared" si="2"/>
        <v>45214-15</v>
      </c>
      <c r="L84" s="26">
        <v>83.9</v>
      </c>
      <c r="M84" s="26">
        <v>1580</v>
      </c>
      <c r="N84">
        <v>9757</v>
      </c>
    </row>
    <row r="85" spans="8:14" x14ac:dyDescent="0.25">
      <c r="H85" s="26">
        <v>45</v>
      </c>
      <c r="I85">
        <v>2</v>
      </c>
      <c r="J85" s="51" t="s">
        <v>269</v>
      </c>
      <c r="K85" s="26" t="str">
        <f t="shared" si="2"/>
        <v>45216-17</v>
      </c>
      <c r="L85" s="26">
        <v>88.7</v>
      </c>
      <c r="M85" s="26">
        <v>1580</v>
      </c>
      <c r="N85">
        <v>10471</v>
      </c>
    </row>
    <row r="86" spans="8:14" x14ac:dyDescent="0.25">
      <c r="H86" s="26">
        <v>45</v>
      </c>
      <c r="I86">
        <v>2</v>
      </c>
      <c r="J86" s="51" t="s">
        <v>270</v>
      </c>
      <c r="K86" s="26" t="str">
        <f t="shared" si="2"/>
        <v>45219-19</v>
      </c>
      <c r="L86" s="26">
        <v>93.4</v>
      </c>
      <c r="M86" s="26">
        <v>1580</v>
      </c>
      <c r="N86">
        <v>11184</v>
      </c>
    </row>
    <row r="87" spans="8:14" x14ac:dyDescent="0.25">
      <c r="H87" s="26">
        <v>45</v>
      </c>
      <c r="I87">
        <v>2</v>
      </c>
      <c r="J87" s="51" t="s">
        <v>271</v>
      </c>
      <c r="K87" s="26" t="str">
        <f t="shared" si="2"/>
        <v>45220-21</v>
      </c>
      <c r="L87" s="26">
        <v>98.2</v>
      </c>
      <c r="M87" s="26">
        <v>1580</v>
      </c>
      <c r="N87">
        <v>11898</v>
      </c>
    </row>
    <row r="88" spans="8:14" x14ac:dyDescent="0.25">
      <c r="H88" s="26">
        <v>45</v>
      </c>
      <c r="I88">
        <v>2</v>
      </c>
      <c r="J88" s="51" t="s">
        <v>272</v>
      </c>
      <c r="K88" s="26" t="str">
        <f t="shared" si="2"/>
        <v>45222-23</v>
      </c>
      <c r="L88" s="26">
        <v>102.9</v>
      </c>
      <c r="M88" s="26">
        <v>1580</v>
      </c>
      <c r="N88">
        <v>12612</v>
      </c>
    </row>
    <row r="89" spans="8:14" x14ac:dyDescent="0.25">
      <c r="H89" s="26">
        <v>45</v>
      </c>
      <c r="I89">
        <v>2</v>
      </c>
      <c r="J89" s="51" t="s">
        <v>273</v>
      </c>
      <c r="K89" s="26" t="str">
        <f t="shared" si="2"/>
        <v>45224-25</v>
      </c>
      <c r="L89" s="26">
        <v>107.7</v>
      </c>
      <c r="M89" s="26">
        <v>1580</v>
      </c>
      <c r="N89">
        <v>13326</v>
      </c>
    </row>
    <row r="90" spans="8:14" x14ac:dyDescent="0.25">
      <c r="H90" s="26">
        <v>45</v>
      </c>
      <c r="I90">
        <v>3</v>
      </c>
      <c r="J90" s="51" t="s">
        <v>266</v>
      </c>
      <c r="K90" s="26" t="str">
        <f t="shared" si="2"/>
        <v>45310-11</v>
      </c>
      <c r="L90" s="26">
        <v>98.1</v>
      </c>
      <c r="M90" s="26">
        <v>2013</v>
      </c>
      <c r="N90">
        <v>10477</v>
      </c>
    </row>
    <row r="91" spans="8:14" x14ac:dyDescent="0.25">
      <c r="H91" s="26">
        <v>45</v>
      </c>
      <c r="I91">
        <v>3</v>
      </c>
      <c r="J91" s="51" t="s">
        <v>268</v>
      </c>
      <c r="K91" s="26" t="str">
        <f t="shared" si="2"/>
        <v>45312-13</v>
      </c>
      <c r="L91" s="26">
        <v>104.4</v>
      </c>
      <c r="M91" s="26">
        <v>2013</v>
      </c>
      <c r="N91">
        <v>11422</v>
      </c>
    </row>
    <row r="92" spans="8:14" x14ac:dyDescent="0.25">
      <c r="H92" s="26">
        <v>45</v>
      </c>
      <c r="I92">
        <v>3</v>
      </c>
      <c r="J92" s="51" t="s">
        <v>267</v>
      </c>
      <c r="K92" s="26" t="str">
        <f t="shared" si="2"/>
        <v>45314-15</v>
      </c>
      <c r="L92" s="26">
        <v>110.7</v>
      </c>
      <c r="M92" s="26">
        <v>2013</v>
      </c>
      <c r="N92">
        <v>12367</v>
      </c>
    </row>
    <row r="93" spans="8:14" x14ac:dyDescent="0.25">
      <c r="H93" s="26">
        <v>45</v>
      </c>
      <c r="I93">
        <v>3</v>
      </c>
      <c r="J93" s="51" t="s">
        <v>269</v>
      </c>
      <c r="K93" s="26" t="str">
        <f t="shared" si="2"/>
        <v>45316-17</v>
      </c>
      <c r="L93" s="26">
        <v>117</v>
      </c>
      <c r="M93" s="26">
        <v>2013</v>
      </c>
      <c r="N93">
        <v>13313</v>
      </c>
    </row>
    <row r="94" spans="8:14" x14ac:dyDescent="0.25">
      <c r="H94" s="26">
        <v>45</v>
      </c>
      <c r="I94">
        <v>3</v>
      </c>
      <c r="J94" s="51" t="s">
        <v>270</v>
      </c>
      <c r="K94" s="26" t="str">
        <f t="shared" si="2"/>
        <v>45319-19</v>
      </c>
      <c r="L94" s="26">
        <v>123.4</v>
      </c>
      <c r="M94" s="26">
        <v>2013</v>
      </c>
      <c r="N94">
        <v>14278</v>
      </c>
    </row>
    <row r="95" spans="8:14" x14ac:dyDescent="0.25">
      <c r="H95" s="26">
        <v>45</v>
      </c>
      <c r="I95">
        <v>3</v>
      </c>
      <c r="J95" s="51" t="s">
        <v>271</v>
      </c>
      <c r="K95" s="26" t="str">
        <f t="shared" si="2"/>
        <v>45320-21</v>
      </c>
      <c r="L95" s="26">
        <v>129.69999999999999</v>
      </c>
      <c r="M95" s="26">
        <v>2013</v>
      </c>
      <c r="N95">
        <v>15204</v>
      </c>
    </row>
    <row r="96" spans="8:14" x14ac:dyDescent="0.25">
      <c r="H96" s="26">
        <v>45</v>
      </c>
      <c r="I96">
        <v>3</v>
      </c>
      <c r="J96" s="51" t="s">
        <v>272</v>
      </c>
      <c r="K96" s="26" t="str">
        <f t="shared" si="2"/>
        <v>45322-23</v>
      </c>
      <c r="L96" s="26">
        <v>136</v>
      </c>
      <c r="M96" s="26">
        <v>2013</v>
      </c>
      <c r="N96">
        <v>16149</v>
      </c>
    </row>
    <row r="97" spans="8:14" x14ac:dyDescent="0.25">
      <c r="H97" s="26">
        <v>45</v>
      </c>
      <c r="I97">
        <v>3</v>
      </c>
      <c r="J97" s="51" t="s">
        <v>273</v>
      </c>
      <c r="K97" s="26" t="str">
        <f t="shared" si="2"/>
        <v>45324-25</v>
      </c>
      <c r="L97" s="26">
        <v>142.30000000000001</v>
      </c>
      <c r="M97" s="26">
        <v>2013</v>
      </c>
      <c r="N97">
        <v>17094</v>
      </c>
    </row>
  </sheetData>
  <sheetProtection sheet="1" objects="1" scenarios="1"/>
  <mergeCells count="7">
    <mergeCell ref="A1:B1"/>
    <mergeCell ref="C5:F5"/>
    <mergeCell ref="C6:F6"/>
    <mergeCell ref="C1:F1"/>
    <mergeCell ref="C2:F2"/>
    <mergeCell ref="C3:F3"/>
    <mergeCell ref="C4:F4"/>
  </mergeCells>
  <dataValidations count="1">
    <dataValidation type="list" allowBlank="1" showInputMessage="1" showErrorMessage="1" sqref="B3" xr:uid="{D0057712-899D-4D91-A032-03137C0EAB60}">
      <formula1>$Z$1:$Z$5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7C86-9EF8-43EB-9506-3CEB94A8D998}">
  <sheetPr codeName="Sheet8"/>
  <dimension ref="A1:K55"/>
  <sheetViews>
    <sheetView workbookViewId="0"/>
  </sheetViews>
  <sheetFormatPr defaultRowHeight="15" x14ac:dyDescent="0.25"/>
  <cols>
    <col min="1" max="1" width="11.5703125" bestFit="1" customWidth="1"/>
  </cols>
  <sheetData>
    <row r="1" spans="1:11" x14ac:dyDescent="0.25">
      <c r="A1" t="s">
        <v>257</v>
      </c>
      <c r="H1" t="s">
        <v>258</v>
      </c>
    </row>
    <row r="2" spans="1:11" x14ac:dyDescent="0.25">
      <c r="A2" t="s">
        <v>223</v>
      </c>
      <c r="B2" t="s">
        <v>224</v>
      </c>
      <c r="C2" t="s">
        <v>225</v>
      </c>
      <c r="D2" t="s">
        <v>176</v>
      </c>
      <c r="E2" t="s">
        <v>225</v>
      </c>
      <c r="H2" t="s">
        <v>223</v>
      </c>
      <c r="I2" t="s">
        <v>224</v>
      </c>
      <c r="J2" t="s">
        <v>225</v>
      </c>
      <c r="K2" t="s">
        <v>176</v>
      </c>
    </row>
    <row r="3" spans="1:11" x14ac:dyDescent="0.25">
      <c r="A3">
        <v>20</v>
      </c>
      <c r="B3" t="s">
        <v>230</v>
      </c>
      <c r="C3">
        <v>55</v>
      </c>
      <c r="D3">
        <v>18.100000000000001</v>
      </c>
      <c r="H3" s="46">
        <v>15</v>
      </c>
      <c r="I3" s="46" t="s">
        <v>235</v>
      </c>
      <c r="J3" s="46">
        <v>77</v>
      </c>
      <c r="K3" s="46">
        <v>10.6</v>
      </c>
    </row>
    <row r="4" spans="1:11" x14ac:dyDescent="0.25">
      <c r="A4">
        <v>20</v>
      </c>
      <c r="B4" t="s">
        <v>178</v>
      </c>
      <c r="C4">
        <v>77</v>
      </c>
      <c r="D4">
        <v>16.5</v>
      </c>
      <c r="H4" s="46">
        <v>15</v>
      </c>
      <c r="I4" s="46" t="s">
        <v>236</v>
      </c>
      <c r="J4" s="46">
        <v>58</v>
      </c>
      <c r="K4" s="46">
        <v>12.2</v>
      </c>
    </row>
    <row r="5" spans="1:11" x14ac:dyDescent="0.25">
      <c r="A5">
        <v>20</v>
      </c>
      <c r="B5" t="s">
        <v>179</v>
      </c>
      <c r="C5">
        <v>82</v>
      </c>
      <c r="D5">
        <v>14.3</v>
      </c>
      <c r="H5" s="46">
        <v>15</v>
      </c>
      <c r="I5" s="46" t="s">
        <v>237</v>
      </c>
      <c r="J5" s="46">
        <v>53</v>
      </c>
      <c r="K5" s="46">
        <v>13.9</v>
      </c>
    </row>
    <row r="6" spans="1:11" x14ac:dyDescent="0.25">
      <c r="A6">
        <v>20</v>
      </c>
      <c r="B6" t="s">
        <v>180</v>
      </c>
      <c r="C6">
        <v>106</v>
      </c>
      <c r="D6">
        <v>12.9</v>
      </c>
      <c r="H6" s="46">
        <v>15</v>
      </c>
      <c r="I6" s="46" t="s">
        <v>238</v>
      </c>
      <c r="J6" s="46">
        <v>50</v>
      </c>
      <c r="K6" s="46">
        <v>16.3</v>
      </c>
    </row>
    <row r="7" spans="1:11" x14ac:dyDescent="0.25">
      <c r="A7">
        <v>25</v>
      </c>
      <c r="B7" t="s">
        <v>181</v>
      </c>
      <c r="C7">
        <v>62</v>
      </c>
      <c r="D7">
        <v>23.7</v>
      </c>
      <c r="H7" s="46">
        <v>15</v>
      </c>
      <c r="I7" s="46" t="s">
        <v>239</v>
      </c>
      <c r="J7" s="46">
        <v>50</v>
      </c>
      <c r="K7" s="46">
        <v>18</v>
      </c>
    </row>
    <row r="8" spans="1:11" x14ac:dyDescent="0.25">
      <c r="A8">
        <v>25</v>
      </c>
      <c r="B8" t="s">
        <v>182</v>
      </c>
      <c r="C8">
        <v>62</v>
      </c>
      <c r="D8">
        <v>21</v>
      </c>
      <c r="H8" s="46">
        <v>20</v>
      </c>
      <c r="I8" s="46" t="s">
        <v>256</v>
      </c>
      <c r="J8" s="46">
        <v>100</v>
      </c>
      <c r="K8" s="46">
        <v>11.1</v>
      </c>
    </row>
    <row r="9" spans="1:11" x14ac:dyDescent="0.25">
      <c r="A9">
        <v>25</v>
      </c>
      <c r="B9" t="s">
        <v>183</v>
      </c>
      <c r="C9">
        <v>71</v>
      </c>
      <c r="D9">
        <v>18.5</v>
      </c>
      <c r="H9" s="46">
        <v>20</v>
      </c>
      <c r="I9" s="46" t="s">
        <v>240</v>
      </c>
      <c r="J9" s="46">
        <v>79</v>
      </c>
      <c r="K9" s="46">
        <v>12.4</v>
      </c>
    </row>
    <row r="10" spans="1:11" x14ac:dyDescent="0.25">
      <c r="A10">
        <v>25</v>
      </c>
      <c r="B10" t="s">
        <v>178</v>
      </c>
      <c r="C10">
        <v>77</v>
      </c>
      <c r="D10">
        <v>16.5</v>
      </c>
      <c r="H10" s="46">
        <v>20</v>
      </c>
      <c r="I10" s="46" t="s">
        <v>241</v>
      </c>
      <c r="J10" s="46">
        <v>74</v>
      </c>
      <c r="K10" s="46">
        <v>14.2</v>
      </c>
    </row>
    <row r="11" spans="1:11" x14ac:dyDescent="0.25">
      <c r="A11">
        <v>25</v>
      </c>
      <c r="B11" t="s">
        <v>179</v>
      </c>
      <c r="C11">
        <v>82</v>
      </c>
      <c r="D11">
        <v>14.3</v>
      </c>
      <c r="H11" s="46">
        <v>20</v>
      </c>
      <c r="I11" s="46" t="s">
        <v>242</v>
      </c>
      <c r="J11" s="46">
        <v>67</v>
      </c>
      <c r="K11" s="46">
        <v>16.3</v>
      </c>
    </row>
    <row r="12" spans="1:11" x14ac:dyDescent="0.25">
      <c r="A12">
        <v>25</v>
      </c>
      <c r="B12" t="s">
        <v>180</v>
      </c>
      <c r="C12">
        <v>106</v>
      </c>
      <c r="D12">
        <v>12.9</v>
      </c>
      <c r="H12" s="46">
        <v>20</v>
      </c>
      <c r="I12" s="46" t="s">
        <v>243</v>
      </c>
      <c r="J12" s="46">
        <v>65</v>
      </c>
      <c r="K12" s="46">
        <v>18.2</v>
      </c>
    </row>
    <row r="13" spans="1:11" x14ac:dyDescent="0.25">
      <c r="A13">
        <v>30</v>
      </c>
      <c r="B13" t="s">
        <v>184</v>
      </c>
      <c r="C13">
        <v>76</v>
      </c>
      <c r="D13">
        <v>23.9</v>
      </c>
      <c r="H13" s="46">
        <v>25</v>
      </c>
      <c r="I13" s="46" t="s">
        <v>244</v>
      </c>
      <c r="J13" s="46">
        <v>99</v>
      </c>
      <c r="K13" s="46">
        <v>14.2</v>
      </c>
    </row>
    <row r="14" spans="1:11" x14ac:dyDescent="0.25">
      <c r="A14">
        <v>30</v>
      </c>
      <c r="B14" t="s">
        <v>185</v>
      </c>
      <c r="C14">
        <v>83</v>
      </c>
      <c r="D14">
        <v>21.4</v>
      </c>
      <c r="H14" s="46">
        <v>25</v>
      </c>
      <c r="I14" s="46" t="s">
        <v>245</v>
      </c>
      <c r="J14" s="46">
        <v>89</v>
      </c>
      <c r="K14" s="46">
        <v>16.8</v>
      </c>
    </row>
    <row r="15" spans="1:11" x14ac:dyDescent="0.25">
      <c r="A15">
        <v>30</v>
      </c>
      <c r="B15" t="s">
        <v>186</v>
      </c>
      <c r="C15">
        <v>86</v>
      </c>
      <c r="D15">
        <v>18.399999999999999</v>
      </c>
      <c r="H15" s="46">
        <v>25</v>
      </c>
      <c r="I15" s="46" t="s">
        <v>246</v>
      </c>
      <c r="J15" s="46">
        <v>76</v>
      </c>
      <c r="K15" s="46">
        <v>18.2</v>
      </c>
    </row>
    <row r="16" spans="1:11" x14ac:dyDescent="0.25">
      <c r="A16">
        <v>30</v>
      </c>
      <c r="B16" t="s">
        <v>187</v>
      </c>
      <c r="C16">
        <v>100</v>
      </c>
      <c r="D16">
        <v>17</v>
      </c>
      <c r="H16" s="46">
        <v>25</v>
      </c>
      <c r="I16" s="46" t="s">
        <v>247</v>
      </c>
      <c r="J16" s="46">
        <v>93</v>
      </c>
      <c r="K16" s="46">
        <v>21.6</v>
      </c>
    </row>
    <row r="17" spans="1:11" x14ac:dyDescent="0.25">
      <c r="A17">
        <v>30</v>
      </c>
      <c r="B17" t="s">
        <v>188</v>
      </c>
      <c r="C17">
        <v>120</v>
      </c>
      <c r="D17">
        <v>14.5</v>
      </c>
      <c r="H17" s="46">
        <v>25</v>
      </c>
      <c r="I17" s="46" t="s">
        <v>184</v>
      </c>
      <c r="J17" s="46">
        <v>76</v>
      </c>
      <c r="K17" s="46">
        <v>23.9</v>
      </c>
    </row>
    <row r="18" spans="1:11" x14ac:dyDescent="0.25">
      <c r="A18">
        <v>30</v>
      </c>
      <c r="B18" t="s">
        <v>189</v>
      </c>
      <c r="C18">
        <v>120</v>
      </c>
      <c r="D18">
        <v>131</v>
      </c>
      <c r="H18" s="46">
        <v>30</v>
      </c>
      <c r="I18" s="46" t="s">
        <v>248</v>
      </c>
      <c r="J18" s="46">
        <v>145</v>
      </c>
      <c r="K18" s="46">
        <v>14.8</v>
      </c>
    </row>
    <row r="19" spans="1:11" x14ac:dyDescent="0.25">
      <c r="A19">
        <v>35</v>
      </c>
      <c r="B19" t="s">
        <v>190</v>
      </c>
      <c r="C19">
        <v>84</v>
      </c>
      <c r="D19">
        <v>26.7</v>
      </c>
      <c r="H19" s="46">
        <v>30</v>
      </c>
      <c r="I19" s="46" t="s">
        <v>249</v>
      </c>
      <c r="J19" s="46">
        <v>97</v>
      </c>
      <c r="K19" s="46">
        <v>18.600000000000001</v>
      </c>
    </row>
    <row r="20" spans="1:11" x14ac:dyDescent="0.25">
      <c r="A20">
        <v>35</v>
      </c>
      <c r="B20" t="s">
        <v>191</v>
      </c>
      <c r="C20">
        <v>94</v>
      </c>
      <c r="D20">
        <v>24.3</v>
      </c>
      <c r="H20" s="46">
        <v>30</v>
      </c>
      <c r="I20" s="46" t="s">
        <v>192</v>
      </c>
      <c r="J20" s="46">
        <v>101</v>
      </c>
      <c r="K20" s="46">
        <v>21.4</v>
      </c>
    </row>
    <row r="21" spans="1:11" x14ac:dyDescent="0.25">
      <c r="A21">
        <v>35</v>
      </c>
      <c r="B21" t="s">
        <v>192</v>
      </c>
      <c r="C21">
        <v>101</v>
      </c>
      <c r="D21">
        <v>21.4</v>
      </c>
      <c r="H21" s="46">
        <v>30</v>
      </c>
      <c r="I21" s="46" t="s">
        <v>232</v>
      </c>
      <c r="J21" s="46">
        <v>103</v>
      </c>
      <c r="K21" s="46">
        <v>24.5</v>
      </c>
    </row>
    <row r="22" spans="1:11" x14ac:dyDescent="0.25">
      <c r="A22">
        <v>35</v>
      </c>
      <c r="B22" t="s">
        <v>227</v>
      </c>
      <c r="C22">
        <v>119</v>
      </c>
      <c r="D22">
        <v>19</v>
      </c>
      <c r="H22" s="46">
        <v>35</v>
      </c>
      <c r="I22" s="46" t="s">
        <v>199</v>
      </c>
      <c r="J22" s="46">
        <v>176</v>
      </c>
      <c r="K22" s="46">
        <v>15.2</v>
      </c>
    </row>
    <row r="23" spans="1:11" x14ac:dyDescent="0.25">
      <c r="A23">
        <v>35</v>
      </c>
      <c r="B23" t="s">
        <v>193</v>
      </c>
      <c r="C23">
        <v>132</v>
      </c>
      <c r="D23">
        <v>14.7</v>
      </c>
      <c r="H23" s="46">
        <v>35</v>
      </c>
      <c r="I23" s="46" t="s">
        <v>250</v>
      </c>
      <c r="J23" s="46">
        <v>143</v>
      </c>
      <c r="K23" s="46">
        <v>19.5</v>
      </c>
    </row>
    <row r="24" spans="1:11" x14ac:dyDescent="0.25">
      <c r="A24">
        <v>35</v>
      </c>
      <c r="B24" t="s">
        <v>194</v>
      </c>
      <c r="C24">
        <v>152</v>
      </c>
      <c r="D24">
        <v>13.7</v>
      </c>
      <c r="H24" s="46">
        <v>35</v>
      </c>
      <c r="I24" s="46" t="s">
        <v>197</v>
      </c>
      <c r="J24" s="46">
        <v>122</v>
      </c>
      <c r="K24" s="46">
        <v>21.7</v>
      </c>
    </row>
    <row r="25" spans="1:11" x14ac:dyDescent="0.25">
      <c r="A25">
        <v>40</v>
      </c>
      <c r="B25" t="s">
        <v>195</v>
      </c>
      <c r="C25">
        <v>99</v>
      </c>
      <c r="D25">
        <v>29.7</v>
      </c>
      <c r="H25" s="46">
        <v>35</v>
      </c>
      <c r="I25" s="46" t="s">
        <v>226</v>
      </c>
      <c r="J25" s="46">
        <v>117</v>
      </c>
      <c r="K25" s="46">
        <v>24.3</v>
      </c>
    </row>
    <row r="26" spans="1:11" x14ac:dyDescent="0.25">
      <c r="A26">
        <v>40</v>
      </c>
      <c r="B26" t="s">
        <v>196</v>
      </c>
      <c r="C26">
        <v>102</v>
      </c>
      <c r="D26">
        <v>27.1</v>
      </c>
      <c r="H26" s="46">
        <v>35</v>
      </c>
      <c r="I26" s="46" t="s">
        <v>203</v>
      </c>
      <c r="J26" s="46">
        <v>129</v>
      </c>
      <c r="K26" s="46">
        <v>27.6</v>
      </c>
    </row>
    <row r="27" spans="1:11" x14ac:dyDescent="0.25">
      <c r="A27">
        <v>40</v>
      </c>
      <c r="B27" t="s">
        <v>226</v>
      </c>
      <c r="C27">
        <v>117</v>
      </c>
      <c r="D27">
        <v>24.3</v>
      </c>
      <c r="H27" s="46">
        <v>40</v>
      </c>
      <c r="I27" s="46" t="s">
        <v>251</v>
      </c>
      <c r="J27" s="46">
        <v>192</v>
      </c>
      <c r="K27" s="46">
        <v>20.399999999999999</v>
      </c>
    </row>
    <row r="28" spans="1:11" x14ac:dyDescent="0.25">
      <c r="A28">
        <v>40</v>
      </c>
      <c r="B28" t="s">
        <v>197</v>
      </c>
      <c r="C28">
        <v>122</v>
      </c>
      <c r="D28">
        <v>21.7</v>
      </c>
      <c r="H28" s="46">
        <v>40</v>
      </c>
      <c r="I28" s="46" t="s">
        <v>205</v>
      </c>
      <c r="J28" s="46">
        <v>147</v>
      </c>
      <c r="K28" s="46">
        <v>22.1</v>
      </c>
    </row>
    <row r="29" spans="1:11" x14ac:dyDescent="0.25">
      <c r="A29">
        <v>40</v>
      </c>
      <c r="B29" t="s">
        <v>198</v>
      </c>
      <c r="C29">
        <v>130</v>
      </c>
      <c r="D29">
        <v>19.3</v>
      </c>
      <c r="H29" s="46">
        <v>40</v>
      </c>
      <c r="I29" s="46" t="s">
        <v>252</v>
      </c>
      <c r="J29" s="46">
        <v>146</v>
      </c>
      <c r="K29" s="46">
        <v>24.7</v>
      </c>
    </row>
    <row r="30" spans="1:11" x14ac:dyDescent="0.25">
      <c r="A30">
        <v>40</v>
      </c>
      <c r="B30" t="s">
        <v>199</v>
      </c>
      <c r="C30">
        <v>176</v>
      </c>
      <c r="D30">
        <v>15.2</v>
      </c>
      <c r="H30" s="46">
        <v>40</v>
      </c>
      <c r="I30" s="46" t="s">
        <v>209</v>
      </c>
      <c r="J30" s="46">
        <v>146</v>
      </c>
      <c r="K30" s="46">
        <v>27.4</v>
      </c>
    </row>
    <row r="31" spans="1:11" x14ac:dyDescent="0.25">
      <c r="A31">
        <v>40</v>
      </c>
      <c r="B31" t="s">
        <v>200</v>
      </c>
      <c r="C31">
        <v>190</v>
      </c>
      <c r="D31">
        <v>14.4</v>
      </c>
      <c r="H31" s="46">
        <v>40</v>
      </c>
      <c r="I31" s="46" t="s">
        <v>214</v>
      </c>
      <c r="J31" s="46">
        <v>148</v>
      </c>
      <c r="K31" s="46">
        <v>30.7</v>
      </c>
    </row>
    <row r="32" spans="1:11" x14ac:dyDescent="0.25">
      <c r="A32">
        <v>45</v>
      </c>
      <c r="B32" t="s">
        <v>201</v>
      </c>
      <c r="C32">
        <v>118</v>
      </c>
      <c r="D32">
        <v>32.9</v>
      </c>
      <c r="H32" s="46">
        <v>45</v>
      </c>
      <c r="I32" s="46" t="s">
        <v>233</v>
      </c>
      <c r="J32" s="46">
        <v>166</v>
      </c>
      <c r="K32" s="46">
        <v>22.5</v>
      </c>
    </row>
    <row r="33" spans="1:11" x14ac:dyDescent="0.25">
      <c r="A33">
        <v>45</v>
      </c>
      <c r="B33" t="s">
        <v>202</v>
      </c>
      <c r="C33">
        <v>116</v>
      </c>
      <c r="D33">
        <v>30</v>
      </c>
      <c r="H33" s="46">
        <v>45</v>
      </c>
      <c r="I33" s="46" t="s">
        <v>252</v>
      </c>
      <c r="J33" s="46">
        <v>146</v>
      </c>
      <c r="K33" s="46">
        <v>24.7</v>
      </c>
    </row>
    <row r="34" spans="1:11" x14ac:dyDescent="0.25">
      <c r="A34">
        <v>45</v>
      </c>
      <c r="B34" t="s">
        <v>203</v>
      </c>
      <c r="C34">
        <v>129</v>
      </c>
      <c r="D34">
        <v>27.6</v>
      </c>
      <c r="H34" s="46">
        <v>45</v>
      </c>
      <c r="I34" s="46" t="s">
        <v>203</v>
      </c>
      <c r="J34" s="46">
        <v>129</v>
      </c>
      <c r="K34" s="46">
        <v>27.6</v>
      </c>
    </row>
    <row r="35" spans="1:11" x14ac:dyDescent="0.25">
      <c r="A35">
        <v>45</v>
      </c>
      <c r="B35" t="s">
        <v>204</v>
      </c>
      <c r="C35">
        <v>131</v>
      </c>
      <c r="D35">
        <v>24.5</v>
      </c>
      <c r="H35" s="46">
        <v>45</v>
      </c>
      <c r="I35" s="46" t="s">
        <v>208</v>
      </c>
      <c r="J35" s="46">
        <v>132</v>
      </c>
      <c r="K35" s="46">
        <v>30.3</v>
      </c>
    </row>
    <row r="36" spans="1:11" x14ac:dyDescent="0.25">
      <c r="A36">
        <v>45</v>
      </c>
      <c r="B36" t="s">
        <v>205</v>
      </c>
      <c r="C36">
        <v>147</v>
      </c>
      <c r="D36">
        <v>22.1</v>
      </c>
      <c r="H36" s="46">
        <v>45</v>
      </c>
      <c r="I36" s="46" t="s">
        <v>207</v>
      </c>
      <c r="J36" s="46">
        <v>130</v>
      </c>
      <c r="K36" s="46">
        <v>33.1</v>
      </c>
    </row>
    <row r="37" spans="1:11" x14ac:dyDescent="0.25">
      <c r="A37">
        <v>45</v>
      </c>
      <c r="B37" t="s">
        <v>206</v>
      </c>
      <c r="C37">
        <v>158</v>
      </c>
      <c r="D37">
        <v>19.7</v>
      </c>
      <c r="H37" s="46">
        <v>50</v>
      </c>
      <c r="I37" s="46" t="s">
        <v>210</v>
      </c>
      <c r="J37" s="46">
        <v>162</v>
      </c>
      <c r="K37" s="46">
        <v>25</v>
      </c>
    </row>
    <row r="38" spans="1:11" x14ac:dyDescent="0.25">
      <c r="A38">
        <v>50</v>
      </c>
      <c r="B38" t="s">
        <v>207</v>
      </c>
      <c r="C38">
        <v>130</v>
      </c>
      <c r="D38">
        <v>33.1</v>
      </c>
      <c r="H38" s="46">
        <v>50</v>
      </c>
      <c r="I38" s="46" t="s">
        <v>209</v>
      </c>
      <c r="J38" s="46">
        <v>146</v>
      </c>
      <c r="K38" s="46">
        <v>27.4</v>
      </c>
    </row>
    <row r="39" spans="1:11" x14ac:dyDescent="0.25">
      <c r="A39">
        <v>50</v>
      </c>
      <c r="B39" t="s">
        <v>208</v>
      </c>
      <c r="C39">
        <v>132</v>
      </c>
      <c r="D39">
        <v>30.3</v>
      </c>
      <c r="H39" s="46">
        <v>50</v>
      </c>
      <c r="I39" s="46" t="s">
        <v>214</v>
      </c>
      <c r="J39" s="46">
        <v>148</v>
      </c>
      <c r="K39" s="46">
        <v>30.7</v>
      </c>
    </row>
    <row r="40" spans="1:11" x14ac:dyDescent="0.25">
      <c r="A40">
        <v>50</v>
      </c>
      <c r="B40" t="s">
        <v>209</v>
      </c>
      <c r="C40">
        <v>146</v>
      </c>
      <c r="D40">
        <v>27.4</v>
      </c>
      <c r="H40" s="46">
        <v>50</v>
      </c>
      <c r="I40" s="46" t="s">
        <v>253</v>
      </c>
      <c r="J40" s="46">
        <v>152</v>
      </c>
      <c r="K40" s="46">
        <v>33.5</v>
      </c>
    </row>
    <row r="41" spans="1:11" x14ac:dyDescent="0.25">
      <c r="A41">
        <v>50</v>
      </c>
      <c r="B41" t="s">
        <v>210</v>
      </c>
      <c r="C41">
        <v>162</v>
      </c>
      <c r="D41">
        <v>25</v>
      </c>
      <c r="H41" s="46">
        <v>50</v>
      </c>
      <c r="I41" s="46" t="s">
        <v>219</v>
      </c>
      <c r="J41" s="46">
        <v>150</v>
      </c>
      <c r="K41" s="46">
        <v>35.9</v>
      </c>
    </row>
    <row r="42" spans="1:11" x14ac:dyDescent="0.25">
      <c r="A42">
        <v>50</v>
      </c>
      <c r="B42" t="s">
        <v>228</v>
      </c>
      <c r="C42">
        <v>182</v>
      </c>
      <c r="D42">
        <v>22.7</v>
      </c>
      <c r="H42" s="46">
        <v>55</v>
      </c>
      <c r="I42" s="46" t="s">
        <v>216</v>
      </c>
      <c r="J42" s="46">
        <v>192</v>
      </c>
      <c r="K42" s="46">
        <v>25.5</v>
      </c>
    </row>
    <row r="43" spans="1:11" x14ac:dyDescent="0.25">
      <c r="A43">
        <v>50</v>
      </c>
      <c r="B43" t="s">
        <v>211</v>
      </c>
      <c r="C43">
        <v>192</v>
      </c>
      <c r="D43">
        <v>20.399999999999999</v>
      </c>
      <c r="H43" s="46">
        <v>55</v>
      </c>
      <c r="I43" s="46" t="s">
        <v>215</v>
      </c>
      <c r="J43" s="46">
        <v>178</v>
      </c>
      <c r="K43" s="46">
        <v>27.8</v>
      </c>
    </row>
    <row r="44" spans="1:11" x14ac:dyDescent="0.25">
      <c r="A44">
        <v>55</v>
      </c>
      <c r="B44" t="s">
        <v>212</v>
      </c>
      <c r="C44">
        <v>135</v>
      </c>
      <c r="D44">
        <v>35.6</v>
      </c>
      <c r="H44" s="46">
        <v>55</v>
      </c>
      <c r="I44" s="46" t="s">
        <v>221</v>
      </c>
      <c r="J44" s="46">
        <v>173</v>
      </c>
      <c r="K44" s="46">
        <v>30.4</v>
      </c>
    </row>
    <row r="45" spans="1:11" x14ac:dyDescent="0.25">
      <c r="A45">
        <v>55</v>
      </c>
      <c r="B45" t="s">
        <v>213</v>
      </c>
      <c r="C45">
        <v>141</v>
      </c>
      <c r="D45">
        <v>33.299999999999997</v>
      </c>
      <c r="H45" s="46">
        <v>55</v>
      </c>
      <c r="I45" s="46" t="s">
        <v>220</v>
      </c>
      <c r="J45" s="46">
        <v>169</v>
      </c>
      <c r="K45" s="46">
        <v>33.799999999999997</v>
      </c>
    </row>
    <row r="46" spans="1:11" x14ac:dyDescent="0.25">
      <c r="A46">
        <v>55</v>
      </c>
      <c r="B46" t="s">
        <v>214</v>
      </c>
      <c r="C46">
        <v>148</v>
      </c>
      <c r="D46">
        <v>30.7</v>
      </c>
      <c r="H46" s="46">
        <v>55</v>
      </c>
      <c r="I46" s="46" t="s">
        <v>234</v>
      </c>
      <c r="J46" s="46">
        <v>160</v>
      </c>
      <c r="K46" s="46">
        <v>36</v>
      </c>
    </row>
    <row r="47" spans="1:11" x14ac:dyDescent="0.25">
      <c r="A47">
        <v>55</v>
      </c>
      <c r="B47" t="s">
        <v>215</v>
      </c>
      <c r="C47">
        <v>178</v>
      </c>
      <c r="D47">
        <v>27.8</v>
      </c>
      <c r="H47" s="46">
        <v>60</v>
      </c>
      <c r="I47" s="46" t="s">
        <v>222</v>
      </c>
      <c r="J47" s="46">
        <v>194</v>
      </c>
      <c r="K47" s="46">
        <v>28.1</v>
      </c>
    </row>
    <row r="48" spans="1:11" x14ac:dyDescent="0.25">
      <c r="A48">
        <v>55</v>
      </c>
      <c r="B48" t="s">
        <v>216</v>
      </c>
      <c r="C48">
        <v>192</v>
      </c>
      <c r="D48">
        <v>25.5</v>
      </c>
      <c r="H48" s="46">
        <v>60</v>
      </c>
      <c r="I48" s="46" t="s">
        <v>221</v>
      </c>
      <c r="J48" s="46">
        <v>173</v>
      </c>
      <c r="K48" s="46">
        <v>30.4</v>
      </c>
    </row>
    <row r="49" spans="1:11" x14ac:dyDescent="0.25">
      <c r="A49">
        <v>55</v>
      </c>
      <c r="B49" t="s">
        <v>217</v>
      </c>
      <c r="C49">
        <v>223</v>
      </c>
      <c r="D49">
        <v>23.4</v>
      </c>
      <c r="H49" s="46">
        <v>60</v>
      </c>
      <c r="I49" s="46" t="s">
        <v>254</v>
      </c>
      <c r="J49" s="46">
        <v>201</v>
      </c>
      <c r="K49" s="46">
        <v>33.700000000000003</v>
      </c>
    </row>
    <row r="50" spans="1:11" x14ac:dyDescent="0.25">
      <c r="A50">
        <v>55</v>
      </c>
      <c r="B50" t="s">
        <v>218</v>
      </c>
      <c r="C50">
        <v>258</v>
      </c>
      <c r="D50">
        <v>21.5</v>
      </c>
      <c r="H50" s="46">
        <v>60</v>
      </c>
      <c r="I50" s="46" t="s">
        <v>255</v>
      </c>
      <c r="J50" s="46">
        <v>194</v>
      </c>
      <c r="K50" s="46">
        <v>36.5</v>
      </c>
    </row>
    <row r="51" spans="1:11" x14ac:dyDescent="0.25">
      <c r="A51">
        <v>60</v>
      </c>
      <c r="B51" t="s">
        <v>219</v>
      </c>
      <c r="C51">
        <v>150</v>
      </c>
      <c r="D51">
        <v>35.9</v>
      </c>
    </row>
    <row r="52" spans="1:11" x14ac:dyDescent="0.25">
      <c r="A52">
        <v>60</v>
      </c>
      <c r="B52" t="s">
        <v>220</v>
      </c>
      <c r="C52">
        <v>169</v>
      </c>
      <c r="D52">
        <v>33.799999999999997</v>
      </c>
    </row>
    <row r="53" spans="1:11" x14ac:dyDescent="0.25">
      <c r="A53">
        <v>60</v>
      </c>
      <c r="B53" t="s">
        <v>221</v>
      </c>
      <c r="C53">
        <v>173</v>
      </c>
      <c r="D53">
        <v>30.4</v>
      </c>
    </row>
    <row r="54" spans="1:11" x14ac:dyDescent="0.25">
      <c r="A54">
        <v>60</v>
      </c>
      <c r="B54" t="s">
        <v>222</v>
      </c>
      <c r="C54">
        <v>194</v>
      </c>
      <c r="D54">
        <v>28.1</v>
      </c>
    </row>
    <row r="55" spans="1:11" x14ac:dyDescent="0.25">
      <c r="A55">
        <v>60</v>
      </c>
      <c r="B55" t="s">
        <v>177</v>
      </c>
      <c r="C55">
        <v>229</v>
      </c>
      <c r="D55">
        <v>26</v>
      </c>
    </row>
  </sheetData>
  <sortState xmlns:xlrd2="http://schemas.microsoft.com/office/spreadsheetml/2017/richdata2" ref="H3:K50">
    <sortCondition ref="H3:H50"/>
    <sortCondition ref="I3:I50"/>
    <sortCondition ref="K3:K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BridgeInformation</vt:lpstr>
      <vt:lpstr>CostEstimateSummary</vt:lpstr>
      <vt:lpstr>Slab</vt:lpstr>
      <vt:lpstr>BoxBeam</vt:lpstr>
      <vt:lpstr>Non-CompositeSteel</vt:lpstr>
      <vt:lpstr>CompositeSteel</vt:lpstr>
      <vt:lpstr>End Bent No. 1</vt:lpstr>
      <vt:lpstr>End Bent No. 2</vt:lpstr>
      <vt:lpstr>Wall Abutment No. 1</vt:lpstr>
      <vt:lpstr>Wall Abutment No. 2</vt:lpstr>
      <vt:lpstr>Pier</vt:lpstr>
      <vt:lpstr>StructuralSteel_Table</vt:lpstr>
      <vt:lpstr>BridgeInformation!Print_Area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Kirk, Adam J.</dc:creator>
  <cp:lastModifiedBy>Kirk, Adam J.</cp:lastModifiedBy>
  <cp:lastPrinted>2024-10-10T20:21:29Z</cp:lastPrinted>
  <dcterms:created xsi:type="dcterms:W3CDTF">2024-10-01T12:13:48Z</dcterms:created>
  <dcterms:modified xsi:type="dcterms:W3CDTF">2024-10-11T15:10:46Z</dcterms:modified>
</cp:coreProperties>
</file>